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codeName="ThisWorkbook" defaultThemeVersion="124226"/>
  <bookViews>
    <workbookView xWindow="6060" yWindow="-390" windowWidth="6330" windowHeight="7350" tabRatio="933" activeTab="1"/>
  </bookViews>
  <sheets>
    <sheet name="Resumen" sheetId="1" r:id="rId1"/>
    <sheet name="IN-10-14" sheetId="2" r:id="rId2"/>
    <sheet name="Equipos" sheetId="26" r:id="rId3"/>
    <sheet name="Mov. Tierra" sheetId="3" r:id="rId4"/>
    <sheet name="Fundaciones" sheetId="4" r:id="rId5"/>
    <sheet name="Estr Resistente" sheetId="5" r:id="rId6"/>
    <sheet name="Cerram ext int" sheetId="6" r:id="rId7"/>
    <sheet name="Aislaciones" sheetId="7" r:id="rId8"/>
    <sheet name="Revoques" sheetId="8" r:id="rId9"/>
    <sheet name="Solados" sheetId="9" r:id="rId10"/>
    <sheet name="Techos" sheetId="10" r:id="rId11"/>
    <sheet name="Cielorrasos" sheetId="11" r:id="rId12"/>
    <sheet name="Revestimientos" sheetId="12" r:id="rId13"/>
    <sheet name="Carpintería" sheetId="13" r:id="rId14"/>
    <sheet name="Inst sanitaria" sheetId="14" r:id="rId15"/>
    <sheet name="Inst Gas" sheetId="15" r:id="rId16"/>
    <sheet name="Inst Eléctrica" sheetId="16" r:id="rId17"/>
    <sheet name="Pintura" sheetId="17" r:id="rId18"/>
    <sheet name="Vidrios" sheetId="18" r:id="rId19"/>
    <sheet name="Varios" sheetId="19" r:id="rId20"/>
    <sheet name="Red de Agua" sheetId="20" r:id="rId21"/>
    <sheet name="Red de Cloaca" sheetId="21" r:id="rId22"/>
    <sheet name="Red de Gas" sheetId="22" r:id="rId23"/>
    <sheet name="Red de Electricidad" sheetId="23" r:id="rId24"/>
    <sheet name="Red Vial" sheetId="24" r:id="rId25"/>
    <sheet name="Flete" sheetId="25" r:id="rId26"/>
    <sheet name="Dolar" sheetId="27" r:id="rId27"/>
  </sheets>
  <externalReferences>
    <externalReference r:id="rId28"/>
  </externalReferences>
  <definedNames>
    <definedName name="_xlnm._FilterDatabase" localSheetId="1" hidden="1">'IN-10-14'!$A$5:$D$5</definedName>
    <definedName name="_xlnm._FilterDatabase" localSheetId="0" hidden="1">Resumen!$A$4:$F$125</definedName>
    <definedName name="_Key1" hidden="1">'IN-10-14'!$A$7</definedName>
    <definedName name="_Order1" hidden="1">255</definedName>
    <definedName name="_Regression_Int" localSheetId="7" hidden="1">1</definedName>
    <definedName name="_Regression_Int" localSheetId="13" hidden="1">1</definedName>
    <definedName name="_Regression_Int" localSheetId="6" hidden="1">1</definedName>
    <definedName name="_Regression_Int" localSheetId="11" hidden="1">1</definedName>
    <definedName name="_Regression_Int" localSheetId="5" hidden="1">1</definedName>
    <definedName name="_Regression_Int" localSheetId="4" hidden="1">1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3" hidden="1">1</definedName>
    <definedName name="_Regression_Int" localSheetId="17" hidden="1">1</definedName>
    <definedName name="_Regression_Int" localSheetId="20" hidden="1">1</definedName>
    <definedName name="_Regression_Int" localSheetId="21" hidden="1">1</definedName>
    <definedName name="_Regression_Int" localSheetId="23" hidden="1">1</definedName>
    <definedName name="_Regression_Int" localSheetId="22" hidden="1">1</definedName>
    <definedName name="_Regression_Int" localSheetId="24" hidden="1">1</definedName>
    <definedName name="_Regression_Int" localSheetId="12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9" hidden="1">1</definedName>
    <definedName name="_Regression_Int" localSheetId="18" hidden="1">1</definedName>
    <definedName name="_Sort" hidden="1">'IN-10-14'!$A$6:$E$8</definedName>
    <definedName name="_xlnm.Print_Area" localSheetId="7">Aislaciones!$A$1:$G$14</definedName>
    <definedName name="_xlnm.Print_Area" localSheetId="13">Carpintería!$A$1:$G$64</definedName>
    <definedName name="_xlnm.Print_Area" localSheetId="6">'Cerram ext int'!$A$1:$G$97</definedName>
    <definedName name="_xlnm.Print_Area" localSheetId="11">Cielorrasos!$A$1:$G$68</definedName>
    <definedName name="_xlnm.Print_Area" localSheetId="2">Equipos!$A$4:$Q$15</definedName>
    <definedName name="_xlnm.Print_Area" localSheetId="5">'Estr Resistente'!$A$1:$G$96</definedName>
    <definedName name="_xlnm.Print_Area" localSheetId="4">Fundaciones!$A$1:$G$48</definedName>
    <definedName name="_xlnm.Print_Area" localSheetId="16">'Inst Eléctrica'!$A$2:$G$42</definedName>
    <definedName name="_xlnm.Print_Area" localSheetId="15">'Inst Gas'!$A$1:$G$53</definedName>
    <definedName name="_xlnm.Print_Area" localSheetId="14">'Inst sanitaria'!$A$2:$G$131</definedName>
    <definedName name="_xlnm.Print_Area" localSheetId="3">'Mov. Tierra'!$A$2:$G$62</definedName>
    <definedName name="_xlnm.Print_Area" localSheetId="17">Pintura!$A$1:$G$78</definedName>
    <definedName name="_xlnm.Print_Area" localSheetId="20">'Red de Agua'!$A$1:$G$44</definedName>
    <definedName name="_xlnm.Print_Area" localSheetId="21">'Red de Cloaca'!$A$1:$G$32</definedName>
    <definedName name="_xlnm.Print_Area" localSheetId="23">'Red de Electricidad'!$A$2:$G$67</definedName>
    <definedName name="_xlnm.Print_Area" localSheetId="22">'Red de Gas'!$A$1:$G$26</definedName>
    <definedName name="_xlnm.Print_Area" localSheetId="24">'Red Vial'!$A$15:$G$46</definedName>
    <definedName name="_xlnm.Print_Area" localSheetId="12">Revestimientos!$A$1:$G$20</definedName>
    <definedName name="_xlnm.Print_Area" localSheetId="8">Revoques!$A$1:$G$48</definedName>
    <definedName name="_xlnm.Print_Area" localSheetId="9">Solados!$A$1:$G$104</definedName>
    <definedName name="_xlnm.Print_Area" localSheetId="10">Techos!$A$1:$G$94</definedName>
    <definedName name="_xlnm.Print_Area" localSheetId="19">Varios!$A$20:$G$46</definedName>
    <definedName name="_xlnm.Print_Area" localSheetId="18">Vidrios!$A$1:$G$7</definedName>
    <definedName name="aserradora">[1]Equipos!$Q$17</definedName>
    <definedName name="bomba">[1]Equipos!$Q$18</definedName>
    <definedName name="camion">Equipos!$Q$7</definedName>
    <definedName name="camionacopl">[1]Equipos!$Q$19</definedName>
    <definedName name="camionford">[1]Equipos!$Q$7</definedName>
    <definedName name="CODIGO">'IN-10-14'!$A$6:$A$238</definedName>
    <definedName name="DESCRIPCION">'IN-10-14'!$B$6:$B$238</definedName>
    <definedName name="dfor_0.06.00.F">'Mov. Tierra'!$D$3</definedName>
    <definedName name="dfor_0.06.01.F">'Mov. Tierra'!$D$10</definedName>
    <definedName name="dfor_0.06.02.F">'Mov. Tierra'!$D$17</definedName>
    <definedName name="dfor_0.06.03.F">'Mov. Tierra'!$D$24</definedName>
    <definedName name="dfor_0.06.04.F">'Mov. Tierra'!$D$32</definedName>
    <definedName name="dfor_0.06.05.F">'Mov. Tierra'!#REF!</definedName>
    <definedName name="dfor_0.06.06.F">'Mov. Tierra'!$D$40</definedName>
    <definedName name="dfor_0.06.07.F">'Mov. Tierra'!$D$48</definedName>
    <definedName name="dfor_0.06.08.F">'Mov. Tierra'!$D$56</definedName>
    <definedName name="dfor_0.09.01.F">Fundaciones!$D$3</definedName>
    <definedName name="dfor_0.09.02.F">Fundaciones!$D$14</definedName>
    <definedName name="dfor_0.09.03.F">Fundaciones!$D$26</definedName>
    <definedName name="dfor_0.09.04.F">Fundaciones!$D$38</definedName>
    <definedName name="dfor_0.12.00.F">'Estr Resistente'!$D$3</definedName>
    <definedName name="dfor_0.12.01.F">'Estr Resistente'!$D$17</definedName>
    <definedName name="dfor_0.12.02.F">'Estr Resistente'!$D$30</definedName>
    <definedName name="dfor_0.12.03.F">'Estr Resistente'!$D$43</definedName>
    <definedName name="dfor_0.12.04.F">'Estr Resistente'!$D$56</definedName>
    <definedName name="dfor_0.12.05.F">'Estr Resistente'!$D$69</definedName>
    <definedName name="dfor_0.12.06.F">'Estr Resistente'!$D$84</definedName>
    <definedName name="dfor_0.12.07.F">'Estr Resistente'!$D$98</definedName>
    <definedName name="dfor_0.12.08.F">'Estr Resistente'!$D$111</definedName>
    <definedName name="dfor_0.12.09.F">'Estr Resistente'!$D$124</definedName>
    <definedName name="dfor_0.18.00.F">'Cerram ext int'!$D$3</definedName>
    <definedName name="dfor_0.18.01.F">'Cerram ext int'!$D$15</definedName>
    <definedName name="dfor_0.18.02.F">'Cerram ext int'!$D$27</definedName>
    <definedName name="dfor_0.18.15.F">'Cerram ext int'!$D$39</definedName>
    <definedName name="dfor_0.18.16.F">'Cerram ext int'!$D$52</definedName>
    <definedName name="dfor_0.18.17.F">'Cerram ext int'!$D$64</definedName>
    <definedName name="dfor_0.18.18.F">'Cerram ext int'!$D$76</definedName>
    <definedName name="dfor_0.18.25.F">'Cerram ext int'!$D$88</definedName>
    <definedName name="dfor_0.18.26.F">'Cerram ext int'!$D$100</definedName>
    <definedName name="dfor_0.18.27.F">'Cerram ext int'!$D$113</definedName>
    <definedName name="dfor_0.21.00.F">Aislaciones!$D$3</definedName>
    <definedName name="dfor_0.24.00.F">Revoques!$D$3</definedName>
    <definedName name="dfor_0.24.50.F">Revoques!$D$15</definedName>
    <definedName name="dfor_0.24.51.F">Revoques!$D$27</definedName>
    <definedName name="dfor_0.24.70.F">Revoques!$D$39</definedName>
    <definedName name="dfor_0.27.00.A">Solados!$D$3</definedName>
    <definedName name="dfor_0.27.10.A">Solados!$D$14</definedName>
    <definedName name="dfor_0.27.20.A">Solados!$D$25</definedName>
    <definedName name="dfor_0.27.25.A">Solados!$D$37</definedName>
    <definedName name="dfor_0.27.30.A">Solados!$D$49</definedName>
    <definedName name="dfor_0.27.31.A">Solados!$D$60</definedName>
    <definedName name="dfor_0.27.40.A">Solados!$D$73</definedName>
    <definedName name="dfor_0.27.40.F">Solados!$D$83</definedName>
    <definedName name="dfor_0.27.41.F">Solados!$D$94</definedName>
    <definedName name="dfor_0.30.00.A">Techos!$D$3</definedName>
    <definedName name="dfor_0.30.01.A">Techos!$D$18</definedName>
    <definedName name="dfor_0.30.15.A">Techos!$D$33</definedName>
    <definedName name="dfor_0.30.30.A">Techos!$D$43</definedName>
    <definedName name="dfor_0.30.31.A">Techos!$D$53</definedName>
    <definedName name="dfor_0.30.45.A">Techos!$D$64</definedName>
    <definedName name="dfor_0.30.60.A">Techos!$D$81</definedName>
    <definedName name="dfor_0.30.61.A">Techos!$D$96</definedName>
    <definedName name="dfor_0.33.00.A">Cielorrasos!$D$3</definedName>
    <definedName name="dfor_0.33.05.A">Cielorrasos!$D$17</definedName>
    <definedName name="dfor_0.33.10.A">Cielorrasos!$D$32</definedName>
    <definedName name="dfor_0.33.15.A">Cielorrasos!$D$41</definedName>
    <definedName name="dfor_0.33.30.A">Cielorrasos!$D$51</definedName>
    <definedName name="dfor_0.33.35.A">Cielorrasos!$D$62</definedName>
    <definedName name="dfor_0.33.36.F">Cielorrasos!$D$71</definedName>
    <definedName name="dfor_0.36.30.A">Revestimientos!$D$3</definedName>
    <definedName name="dfor_0.36.40.A">Revestimientos!$D$12</definedName>
    <definedName name="dfor_0.39.00.A">Carpintería!$D$3</definedName>
    <definedName name="dfor_0.39.01.F">Carpintería!$D$16</definedName>
    <definedName name="dfor_0.39.02.F">Carpintería!$D$25</definedName>
    <definedName name="dfor_0.39.03.F">Carpintería!$D$36</definedName>
    <definedName name="dfor_0.39.04.F">Carpintería!$D$48</definedName>
    <definedName name="dfor_0.39.05.F">Carpintería!$D$57</definedName>
    <definedName name="dfor_0.48.00.F">'Inst sanitaria'!$D$3</definedName>
    <definedName name="dfor_0.48.01.F">'Inst sanitaria'!$D$14</definedName>
    <definedName name="dfor_0.48.02.F">'Inst sanitaria'!$D$27</definedName>
    <definedName name="dfor_0.48.20.A">'Inst sanitaria'!$D$43</definedName>
    <definedName name="dfor_0.54.00.F">'Inst sanitaria'!$D$57</definedName>
    <definedName name="dfor_0.54.01.F">'Inst sanitaria'!$D$67</definedName>
    <definedName name="dfor_0.57.00.F">'Inst sanitaria'!$D$77</definedName>
    <definedName name="dfor_0.57.01.F">'Inst sanitaria'!$D$89</definedName>
    <definedName name="dfor_0.57.02.F">'Inst sanitaria'!$D$101</definedName>
    <definedName name="dfor_0.57.03.F">'Inst sanitaria'!$D$110</definedName>
    <definedName name="dfor_0.57.04.F">'Inst sanitaria'!$D$122</definedName>
    <definedName name="dfor_0.60.30.A">'Inst Gas'!$D$3</definedName>
    <definedName name="dfor_0.60.30.F">'Inst Gas'!$D$16</definedName>
    <definedName name="dfor_0.60.31.F">'Inst Gas'!$D$57</definedName>
    <definedName name="dfor_0.60.40.A">'Inst Gas'!$D$31</definedName>
    <definedName name="dfor_0.61.00.A">'Inst Gas'!$D$45</definedName>
    <definedName name="dfor_0.63.00.A">'Inst Eléctrica'!$D$3</definedName>
    <definedName name="dfor_0.63.20.A">'Inst Eléctrica'!$D$16</definedName>
    <definedName name="dfor_0.63.20.F">'Inst Eléctrica'!$D$30</definedName>
    <definedName name="dfor_0.72.00.A">Pintura!$D$3</definedName>
    <definedName name="dfor_0.72.20.A">Pintura!$D$15</definedName>
    <definedName name="dfor_0.72.30.A">Pintura!$D$26</definedName>
    <definedName name="dfor_0.72.40.A">Pintura!$D$37</definedName>
    <definedName name="dfor_0.72.41.F">Pintura!$D$49</definedName>
    <definedName name="dfor_0.72.42.F">Pintura!$D$59</definedName>
    <definedName name="dfor_0.72.50.F">Pintura!$D$70</definedName>
    <definedName name="dfor_0.78.00.A">Vidrios!$D$3</definedName>
    <definedName name="dfor_0.99.01.F">Varios!$D$3</definedName>
    <definedName name="dfor_0.99.02.F">Varios!$D$12</definedName>
    <definedName name="dfor_0.99.03.F">Varios!$D$21</definedName>
    <definedName name="dfor_0.99.04.F">Varios!$D$39</definedName>
    <definedName name="dfor_0.99.05.F">Varios!$D$49</definedName>
    <definedName name="dfor_0.99.06.F">Varios!$D$58</definedName>
    <definedName name="dfor_0.99.07.F">Varios!$D$67</definedName>
    <definedName name="dfor_0.99.08.F">Varios!$D$74</definedName>
    <definedName name="dfor_0.99.09.F">Varios!$D$82</definedName>
    <definedName name="dfor_0.99.10.F">Varios!$D$93</definedName>
    <definedName name="dfor_0.99.11.F">Varios!$D$102</definedName>
    <definedName name="dfor_1.10.00.F">'Red de Agua'!$D$3</definedName>
    <definedName name="dfor_1.10.01.F">'Red de Agua'!$D$19</definedName>
    <definedName name="dfor_1.10.02.F">'Red de Agua'!$D$33</definedName>
    <definedName name="dfor_1.10.03.F">'Red de Agua'!#REF!</definedName>
    <definedName name="dfor_1.10.50.A">'Red de Agua'!#REF!</definedName>
    <definedName name="dfor_1.10.50.B">'Red de Agua'!#REF!</definedName>
    <definedName name="dfor_1.20.00.A">'Red de Cloaca'!#REF!</definedName>
    <definedName name="dfor_1.20.00.B">'Red de Cloaca'!#REF!</definedName>
    <definedName name="dfor_1.20.00.F">'Red de Cloaca'!$D$3</definedName>
    <definedName name="dfor_1.20.01.F">'Red de Cloaca'!$D$18</definedName>
    <definedName name="dfor_1.20.50.A">'Red de Cloaca'!#REF!</definedName>
    <definedName name="dfor_1.20.50.B">'Red de Cloaca'!#REF!</definedName>
    <definedName name="dfor_1.40.00.A">'Red de Gas'!#REF!</definedName>
    <definedName name="dfor_1.40.01.F">'Red de Gas'!$D$3</definedName>
    <definedName name="dfor_1.60.01.F">'Red de Electricidad'!$D$3</definedName>
    <definedName name="dfor_1.60.02.F">'Red de Electricidad'!$D$21</definedName>
    <definedName name="dfor_1.60.03.F">'Red de Electricidad'!$D$38</definedName>
    <definedName name="dfor_1.60.04.F">'Red de Electricidad'!$D$58</definedName>
    <definedName name="dfor_1.80.01.A">'Red Vial'!$D$3</definedName>
    <definedName name="dfor_1.80.01.F">'Red Vial'!$D$16</definedName>
    <definedName name="dfor_1.80.02.F">'Red Vial'!$D$31</definedName>
    <definedName name="dfor_1.80.03.F">'Red Vial'!$D$49</definedName>
    <definedName name="Fecha">'IN-10-14'!$D$3</definedName>
    <definedName name="Flete">Flete!$A$8:$M$49</definedName>
    <definedName name="for_0.06.00.F">'Mov. Tierra'!$B$2</definedName>
    <definedName name="for_0.06.01.F">'Mov. Tierra'!$B$9</definedName>
    <definedName name="for_0.06.02.F">'Mov. Tierra'!$B$16</definedName>
    <definedName name="for_0.06.03.F">'Mov. Tierra'!$B$23</definedName>
    <definedName name="for_0.06.04.F">'Mov. Tierra'!$B$31</definedName>
    <definedName name="for_0.06.05.F">'Mov. Tierra'!#REF!</definedName>
    <definedName name="for_0.06.06.F">'Mov. Tierra'!$B$39</definedName>
    <definedName name="for_0.06.07.F">'Mov. Tierra'!$B$47</definedName>
    <definedName name="for_0.06.08.F">'Mov. Tierra'!$B$55</definedName>
    <definedName name="for_0.09.01.F">Fundaciones!$B$2</definedName>
    <definedName name="for_0.09.02.F">Fundaciones!$B$13</definedName>
    <definedName name="for_0.09.03.F">Fundaciones!$B$25</definedName>
    <definedName name="for_0.09.04.F">Fundaciones!$B$37</definedName>
    <definedName name="for_0.12.00.F">'Estr Resistente'!$B$2</definedName>
    <definedName name="for_0.12.01.F">'Estr Resistente'!$B$16</definedName>
    <definedName name="for_0.12.02.F">'Estr Resistente'!$B$29</definedName>
    <definedName name="for_0.12.03.F">'Estr Resistente'!$B$42</definedName>
    <definedName name="for_0.12.04.F">'Estr Resistente'!$B$55</definedName>
    <definedName name="for_0.12.05.F">'Estr Resistente'!$B$68</definedName>
    <definedName name="for_0.12.06.F">'Estr Resistente'!$B$83</definedName>
    <definedName name="for_0.12.07.F">'Estr Resistente'!$B$97</definedName>
    <definedName name="for_0.12.08.F">'Estr Resistente'!$B$110</definedName>
    <definedName name="for_0.12.09.F">'Estr Resistente'!$B$123</definedName>
    <definedName name="for_0.18.00.F">'Cerram ext int'!$B$2</definedName>
    <definedName name="for_0.18.01.F">'Cerram ext int'!$B$14</definedName>
    <definedName name="for_0.18.02.F">'Cerram ext int'!$B$26</definedName>
    <definedName name="for_0.18.15.F">'Cerram ext int'!$B$38</definedName>
    <definedName name="for_0.18.16.F">'Cerram ext int'!$B$51</definedName>
    <definedName name="for_0.18.17.F">'Cerram ext int'!$B$63</definedName>
    <definedName name="for_0.18.18.F">'Cerram ext int'!$B$75</definedName>
    <definedName name="for_0.18.25.F">'Cerram ext int'!$B$87</definedName>
    <definedName name="for_0.18.26.F">'Cerram ext int'!$B$99</definedName>
    <definedName name="for_0.18.27.F">'Cerram ext int'!$B$112</definedName>
    <definedName name="for_0.21.00.F">Aislaciones!$B$2</definedName>
    <definedName name="for_0.24.00.F">Revoques!$B$2</definedName>
    <definedName name="for_0.24.50.F">Revoques!$B$14</definedName>
    <definedName name="for_0.24.51.F">Revoques!$B$26</definedName>
    <definedName name="for_0.24.70.F">Revoques!$B$38</definedName>
    <definedName name="for_0.27.00.A">Solados!$B$2</definedName>
    <definedName name="for_0.27.10.A">Solados!$B$13</definedName>
    <definedName name="for_0.27.20.A">Solados!$B$24</definedName>
    <definedName name="for_0.27.25.A">Solados!$B$36</definedName>
    <definedName name="for_0.27.30.A">Solados!$B$48</definedName>
    <definedName name="for_0.27.31.A">Solados!$B$59</definedName>
    <definedName name="for_0.27.40.A">Solados!$B$72</definedName>
    <definedName name="for_0.27.40.F">Solados!$B$82</definedName>
    <definedName name="for_0.27.41.F">Solados!$B$93</definedName>
    <definedName name="for_0.30.00.A">Techos!$B$2</definedName>
    <definedName name="for_0.30.01.A">Techos!$B$17</definedName>
    <definedName name="for_0.30.15.A">Techos!$B$32</definedName>
    <definedName name="for_0.30.30.A">Techos!$B$42</definedName>
    <definedName name="for_0.30.31.A">Techos!$B$52</definedName>
    <definedName name="for_0.30.45.A">Techos!$B$63</definedName>
    <definedName name="for_0.30.60.A">Techos!$B$80</definedName>
    <definedName name="for_0.30.61.A">Techos!$B$95</definedName>
    <definedName name="for_0.33.00.A">Cielorrasos!$B$2</definedName>
    <definedName name="for_0.33.05.A">Cielorrasos!$B$16</definedName>
    <definedName name="for_0.33.10.A">Cielorrasos!$B$31</definedName>
    <definedName name="for_0.33.15.A">Cielorrasos!$B$40</definedName>
    <definedName name="for_0.33.30.A">Cielorrasos!$B$50</definedName>
    <definedName name="for_0.33.35.A">Cielorrasos!$B$61</definedName>
    <definedName name="for_0.33.36.F">Cielorrasos!$B$70</definedName>
    <definedName name="for_0.36.30.A">Revestimientos!$B$2</definedName>
    <definedName name="for_0.36.40.A">Revestimientos!$B$11</definedName>
    <definedName name="for_0.39.00.A">Carpintería!$B$2</definedName>
    <definedName name="for_0.39.01.F">Carpintería!$B$15</definedName>
    <definedName name="for_0.39.02.F">Carpintería!$B$24</definedName>
    <definedName name="for_0.39.03.F">Carpintería!$B$35</definedName>
    <definedName name="for_0.39.04.F">Carpintería!$B$47</definedName>
    <definedName name="for_0.39.05.F">Carpintería!$B$56</definedName>
    <definedName name="for_0.48.00.F">'Inst sanitaria'!$B$2</definedName>
    <definedName name="for_0.48.01.F">'Inst sanitaria'!$B$13</definedName>
    <definedName name="for_0.48.02.F">'Inst sanitaria'!$B$26</definedName>
    <definedName name="for_0.48.20.A">'Inst sanitaria'!$B$42</definedName>
    <definedName name="for_0.54.00.F">'Inst sanitaria'!$B$56</definedName>
    <definedName name="for_0.54.01.F">'Inst sanitaria'!$B$66</definedName>
    <definedName name="for_0.57.00.F">'Inst sanitaria'!$B$76</definedName>
    <definedName name="for_0.57.01.F">'Inst sanitaria'!$B$88</definedName>
    <definedName name="for_0.57.02.F">'Inst sanitaria'!$B$100</definedName>
    <definedName name="for_0.57.03.F">'Inst sanitaria'!$B$109</definedName>
    <definedName name="for_0.57.04.F">'Inst sanitaria'!$B$121</definedName>
    <definedName name="for_0.60.30.A">'Inst Gas'!$B$2</definedName>
    <definedName name="for_0.60.30.F">'Inst Gas'!$B$15</definedName>
    <definedName name="for_0.60.40.F">'Inst Gas'!$B$30</definedName>
    <definedName name="for_0.61.00.A">'Inst Gas'!$B$44</definedName>
    <definedName name="for_0.61.31.A">'Inst Gas'!$B$56</definedName>
    <definedName name="for_0.63.00.A">'Inst Eléctrica'!$B$2</definedName>
    <definedName name="for_0.63.20.A">'Inst Eléctrica'!$B$15</definedName>
    <definedName name="for_0.63.20.F">'Inst Eléctrica'!$B$29</definedName>
    <definedName name="for_0.72.00.A">Pintura!$B$2</definedName>
    <definedName name="for_0.72.20.A">Pintura!$B$14</definedName>
    <definedName name="for_0.72.30.A">Pintura!$B$25</definedName>
    <definedName name="for_0.72.40.A">Pintura!$B$36</definedName>
    <definedName name="for_0.72.41.F">Pintura!$B$48</definedName>
    <definedName name="for_0.72.42.F">Pintura!$B$58</definedName>
    <definedName name="for_0.72.50.F">Pintura!$B$69</definedName>
    <definedName name="for_0.78.00.A">Vidrios!$B$2</definedName>
    <definedName name="for_0.99.01.F">Varios!$B$2</definedName>
    <definedName name="for_0.99.02.F">Varios!$B$11</definedName>
    <definedName name="for_0.99.03.F">Varios!$B$20</definedName>
    <definedName name="for_0.99.04.F">Varios!$B$38</definedName>
    <definedName name="for_0.99.05.F">Varios!$B$48</definedName>
    <definedName name="for_0.99.06.F">Varios!$B$57</definedName>
    <definedName name="for_0.99.07.F">Varios!$B$66</definedName>
    <definedName name="for_0.99.08.F">Varios!$B$73</definedName>
    <definedName name="for_0.99.09.F">Varios!$B$81</definedName>
    <definedName name="for_0.99.10.F">Varios!$B$92</definedName>
    <definedName name="for_0.99.11.F">Varios!$B$101</definedName>
    <definedName name="for_1.10.00.F">'Red de Agua'!$B$2</definedName>
    <definedName name="for_1.10.01.F">'Red de Agua'!$B$18</definedName>
    <definedName name="for_1.10.02.F">'Red de Agua'!$B$32</definedName>
    <definedName name="for_1.10.03.F">'Red de Agua'!#REF!</definedName>
    <definedName name="for_1.10.50.A">'Red de Agua'!#REF!</definedName>
    <definedName name="for_1.10.50.B">'Red de Agua'!#REF!</definedName>
    <definedName name="for_1.20.00.A">'Red de Cloaca'!#REF!</definedName>
    <definedName name="for_1.20.00.B">'Red de Cloaca'!#REF!</definedName>
    <definedName name="for_1.20.00.F">'Red de Cloaca'!$B$2</definedName>
    <definedName name="for_1.20.01.F">'Red de Cloaca'!$B$17</definedName>
    <definedName name="for_1.20.50.A">'Red de Cloaca'!#REF!</definedName>
    <definedName name="for_1.20.50.B">'Red de Cloaca'!#REF!</definedName>
    <definedName name="for_1.40.00.A">'Red de Gas'!#REF!</definedName>
    <definedName name="for_1.40.01.F">'Red de Gas'!$B$2</definedName>
    <definedName name="for_1.60.01.F">'Red de Electricidad'!$B$2</definedName>
    <definedName name="for_1.60.02.F">'Red de Electricidad'!$B$20</definedName>
    <definedName name="for_1.60.03.F">'Red de Electricidad'!$B$37</definedName>
    <definedName name="for_1.60.04.F">'Red de Electricidad'!$B$57</definedName>
    <definedName name="for_1.80.01.A">'Red Vial'!$B$2</definedName>
    <definedName name="for_1.80.01.F">'Red Vial'!$B$15</definedName>
    <definedName name="for_1.80.02.F">'Red Vial'!$B$30</definedName>
    <definedName name="for_1.80.03.F">'Red Vial'!$B$48</definedName>
    <definedName name="grua">Equipos!$Q$16</definedName>
    <definedName name="Imprimir_área_IM" localSheetId="7">Aislaciones!$A$1:$G$14</definedName>
    <definedName name="Imprimir_área_IM" localSheetId="13">Carpintería!$A$1:$G$34</definedName>
    <definedName name="Imprimir_área_IM" localSheetId="6">'Cerram ext int'!$A$1:$G$97</definedName>
    <definedName name="Imprimir_área_IM" localSheetId="11">Cielorrasos!$A$1:$G$68</definedName>
    <definedName name="Imprimir_área_IM" localSheetId="5">'Estr Resistente'!$A$1:$G$96</definedName>
    <definedName name="Imprimir_área_IM" localSheetId="4">Fundaciones!$A$1:$G$48</definedName>
    <definedName name="Imprimir_área_IM" localSheetId="16">'Inst Eléctrica'!$A$1:$G$42</definedName>
    <definedName name="Imprimir_área_IM" localSheetId="15">'Inst Gas'!$A$1:$G$53</definedName>
    <definedName name="Imprimir_área_IM" localSheetId="14">'Inst sanitaria'!$A$1:$G$98</definedName>
    <definedName name="Imprimir_área_IM" localSheetId="17">Pintura!$A$1:$G$78</definedName>
    <definedName name="Imprimir_área_IM" localSheetId="20">'Red de Agua'!$A$1:$G$19</definedName>
    <definedName name="Imprimir_área_IM" localSheetId="21">'Red de Cloaca'!#REF!</definedName>
    <definedName name="Imprimir_área_IM" localSheetId="23">'Red de Electricidad'!#REF!</definedName>
    <definedName name="Imprimir_área_IM" localSheetId="22">'Red de Gas'!#REF!</definedName>
    <definedName name="Imprimir_área_IM" localSheetId="24">'Red Vial'!#REF!</definedName>
    <definedName name="Imprimir_área_IM" localSheetId="12">Revestimientos!$A$1:$G$20</definedName>
    <definedName name="Imprimir_área_IM" localSheetId="8">Revoques!$A$1:$G$48</definedName>
    <definedName name="Imprimir_área_IM" localSheetId="9">Solados!$A$1:$G$104</definedName>
    <definedName name="Imprimir_área_IM" localSheetId="10">Techos!$A$1:$G$94</definedName>
    <definedName name="Imprimir_área_IM" localSheetId="19">Varios!$A$1:$G$22</definedName>
    <definedName name="Imprimir_área_IM" localSheetId="18">Vidrios!$A$1:$G$7</definedName>
    <definedName name="Imprimir_títulos_IM" localSheetId="1">'IN-10-14'!$1:$5</definedName>
    <definedName name="Insumos">'IN-10-14'!$A$5:$D$441</definedName>
    <definedName name="listado">Resumen!$B$4:$F$125</definedName>
    <definedName name="mixer_5m3">Equipos!$Q$13</definedName>
    <definedName name="motoniv">Equipos!$Q$9</definedName>
    <definedName name="pala_carg">Equipos!$Q$10</definedName>
    <definedName name="planchavib">[1]Equipos!$Q$20</definedName>
    <definedName name="planta_horm">Equipos!$Q$14</definedName>
    <definedName name="PRECIO">'IN-10-14'!$E$6:$E$238</definedName>
    <definedName name="reglavib">[1]Equipos!$Q$21</definedName>
    <definedName name="retro">Equipos!$Q$8</definedName>
    <definedName name="rfor_0.06.00.F">'Mov. Tierra'!$B$3</definedName>
    <definedName name="rfor_0.06.01.F">'Mov. Tierra'!$B$10</definedName>
    <definedName name="rfor_0.06.02.F">'Mov. Tierra'!$B$17</definedName>
    <definedName name="rfor_0.06.03.F">'Mov. Tierra'!$B$24</definedName>
    <definedName name="rfor_0.06.04.F">'Mov. Tierra'!$B$32</definedName>
    <definedName name="rfor_0.06.05.F">'Mov. Tierra'!#REF!</definedName>
    <definedName name="rfor_0.06.06.F">'Mov. Tierra'!$B$40</definedName>
    <definedName name="rfor_0.06.07.F">'Mov. Tierra'!$B$48</definedName>
    <definedName name="rfor_0.06.08.F">'Mov. Tierra'!$B$56</definedName>
    <definedName name="rfor_0.09.01.F">Fundaciones!$B$3</definedName>
    <definedName name="rfor_0.09.02.F">Fundaciones!$B$14</definedName>
    <definedName name="rfor_0.09.03.F">Fundaciones!$B$26</definedName>
    <definedName name="rfor_0.09.04.F">Fundaciones!$B$38</definedName>
    <definedName name="rfor_0.12.00.F">'Estr Resistente'!$B$3</definedName>
    <definedName name="rfor_0.12.01.F">'Estr Resistente'!$B$17</definedName>
    <definedName name="rfor_0.12.02.F">'Estr Resistente'!$B$30</definedName>
    <definedName name="rfor_0.12.03.F">'Estr Resistente'!$B$43</definedName>
    <definedName name="rfor_0.12.04.F">'Estr Resistente'!$B$56</definedName>
    <definedName name="rfor_0.12.05.F">'Estr Resistente'!$B$69</definedName>
    <definedName name="rfor_0.12.06.F">'Estr Resistente'!$B$84</definedName>
    <definedName name="rfor_0.12.07.F">'Estr Resistente'!$B$98</definedName>
    <definedName name="rfor_0.12.08.F">'Estr Resistente'!$B$111</definedName>
    <definedName name="rfor_0.12.09.F">'Estr Resistente'!$B$124</definedName>
    <definedName name="rfor_0.18.00.F">'Cerram ext int'!$B$3</definedName>
    <definedName name="rfor_0.18.01.F">'Cerram ext int'!$B$15</definedName>
    <definedName name="rfor_0.18.02.F">'Cerram ext int'!$B$27</definedName>
    <definedName name="rfor_0.18.15.F">'Cerram ext int'!$B$39</definedName>
    <definedName name="rfor_0.18.16.F">'Cerram ext int'!$B$52</definedName>
    <definedName name="rfor_0.18.17.F">'Cerram ext int'!$B$64</definedName>
    <definedName name="rfor_0.18.18.F">'Cerram ext int'!$B$76</definedName>
    <definedName name="rfor_0.18.25.F">'Cerram ext int'!$B$88</definedName>
    <definedName name="rfor_0.18.26.F">'Cerram ext int'!$B$100</definedName>
    <definedName name="rfor_0.18.27.F">'Cerram ext int'!$B$113</definedName>
    <definedName name="rfor_0.21.00.F">Aislaciones!$B$3</definedName>
    <definedName name="rfor_0.24.00.F">Revoques!$B$3</definedName>
    <definedName name="rfor_0.24.50.F">Revoques!$B$15</definedName>
    <definedName name="rfor_0.24.51.F">Revoques!$B$27</definedName>
    <definedName name="rfor_0.24.70.F">Revoques!$B$39</definedName>
    <definedName name="rfor_0.27.00.A">Solados!$B$3</definedName>
    <definedName name="rfor_0.27.10.A">Solados!$B$14</definedName>
    <definedName name="rfor_0.27.20.A">Solados!$B$25</definedName>
    <definedName name="rfor_0.27.25.A">Solados!$B$37</definedName>
    <definedName name="rfor_0.27.30.A">Solados!$B$49</definedName>
    <definedName name="rfor_0.27.31.A">Solados!$B$60</definedName>
    <definedName name="rfor_0.27.40.A">Solados!$B$73</definedName>
    <definedName name="rfor_0.27.40.F">Solados!$B$83</definedName>
    <definedName name="rfor_0.27.41.F">Solados!$B$94</definedName>
    <definedName name="rfor_0.30.00.A">Techos!$B$3</definedName>
    <definedName name="rfor_0.30.01.A">Techos!$B$18</definedName>
    <definedName name="rfor_0.30.15.A">Techos!$B$33</definedName>
    <definedName name="rfor_0.30.30.A">Techos!$B$43</definedName>
    <definedName name="rfor_0.30.31.A">Techos!$B$53</definedName>
    <definedName name="rfor_0.30.45.A">Techos!$B$64</definedName>
    <definedName name="rfor_0.30.60.A">Techos!$B$81</definedName>
    <definedName name="rfor_0.30.61.A">Techos!$B$96</definedName>
    <definedName name="rfor_0.33.00.A">Cielorrasos!$B$3</definedName>
    <definedName name="rfor_0.33.05.A">Cielorrasos!$B$17</definedName>
    <definedName name="rfor_0.33.10.A">Cielorrasos!$B$32</definedName>
    <definedName name="rfor_0.33.15.A">Cielorrasos!$B$41</definedName>
    <definedName name="rfor_0.33.30.A">Cielorrasos!$B$51</definedName>
    <definedName name="rfor_0.33.35.A">Cielorrasos!$B$62</definedName>
    <definedName name="rfor_0.33.36.F">Cielorrasos!$B$71</definedName>
    <definedName name="rfor_0.36.30.A">Revestimientos!$B$3</definedName>
    <definedName name="rfor_0.36.40.A">Revestimientos!$B$12</definedName>
    <definedName name="rfor_0.39.00.A">Carpintería!$B$3</definedName>
    <definedName name="rfor_0.39.01.F">Carpintería!$B$16</definedName>
    <definedName name="rfor_0.39.02.F">Carpintería!$B$25</definedName>
    <definedName name="rfor_0.39.03.F">Carpintería!$B$36</definedName>
    <definedName name="rfor_0.39.04.F">Carpintería!$B$48</definedName>
    <definedName name="rfor_0.39.05.F">Carpintería!$B$57</definedName>
    <definedName name="rfor_0.48.00.F">'Inst sanitaria'!$B$3</definedName>
    <definedName name="rfor_0.48.01.F">'Inst sanitaria'!$B$14</definedName>
    <definedName name="rfor_0.48.02.F">'Inst sanitaria'!$B$27</definedName>
    <definedName name="rfor_0.48.20.A">'Inst sanitaria'!$B$43</definedName>
    <definedName name="rfor_0.54.00.F">'Inst sanitaria'!$B$57</definedName>
    <definedName name="rfor_0.54.01.F">'Inst sanitaria'!$B$67</definedName>
    <definedName name="rfor_0.57.00.F">'Inst sanitaria'!$B$77</definedName>
    <definedName name="rfor_0.57.01.F">'Inst sanitaria'!$B$89</definedName>
    <definedName name="rfor_0.57.02.F">'Inst sanitaria'!$B$101</definedName>
    <definedName name="rfor_0.57.03.F">'Inst sanitaria'!$B$110</definedName>
    <definedName name="rfor_0.57.04.F">'Inst sanitaria'!$B$122</definedName>
    <definedName name="rfor_0.60.30.A">'Inst Gas'!$B$3</definedName>
    <definedName name="rfor_0.60.30.F">'Inst Gas'!$B$16</definedName>
    <definedName name="rfor_0.60.31.F">'Inst Gas'!$B$57</definedName>
    <definedName name="rfor_0.60.40.A">'Inst Gas'!$B$31</definedName>
    <definedName name="rfor_0.61.00.A">'Inst Gas'!$B$45</definedName>
    <definedName name="rfor_0.63.00.A">'Inst Eléctrica'!$B$3</definedName>
    <definedName name="rfor_0.63.20.A">'Inst Eléctrica'!$B$16</definedName>
    <definedName name="rfor_0.63.20.F">'Inst Eléctrica'!$B$30</definedName>
    <definedName name="rfor_0.72.00.A">Pintura!$B$3</definedName>
    <definedName name="rfor_0.72.20.A">Pintura!$B$15</definedName>
    <definedName name="rfor_0.72.30.A">Pintura!$B$26</definedName>
    <definedName name="rfor_0.72.40.A">Pintura!$B$37</definedName>
    <definedName name="rfor_0.72.41.F">Pintura!$B$49</definedName>
    <definedName name="rfor_0.72.42.F">Pintura!$B$59</definedName>
    <definedName name="rfor_0.72.50.F">Pintura!$B$70</definedName>
    <definedName name="rfor_0.78.00.A">Vidrios!$B$3</definedName>
    <definedName name="rfor_0.99.01.F">Varios!$B$3</definedName>
    <definedName name="rfor_0.99.02.F">Varios!$B$12</definedName>
    <definedName name="rfor_0.99.03.F">Varios!$B$21</definedName>
    <definedName name="rfor_0.99.04.F">Varios!$B$39</definedName>
    <definedName name="rfor_0.99.05.F">Varios!$B$49</definedName>
    <definedName name="rfor_0.99.06.F">Varios!$B$58</definedName>
    <definedName name="rfor_0.99.07.F">Varios!$B$67</definedName>
    <definedName name="rfor_0.99.08.F">Varios!$B$74</definedName>
    <definedName name="rfor_0.99.09.F">Varios!$B$82</definedName>
    <definedName name="rfor_0.99.10.F">Varios!$B$93</definedName>
    <definedName name="rfor_0.99.11.F">Varios!$B$102</definedName>
    <definedName name="rfor_1.10.00.F">'Red de Agua'!$B$3</definedName>
    <definedName name="rfor_1.10.01.F">'Red de Agua'!$B$19</definedName>
    <definedName name="rfor_1.10.02.F">'Red de Agua'!$B$33</definedName>
    <definedName name="rfor_1.10.03.F">'Red de Agua'!#REF!</definedName>
    <definedName name="rfor_1.10.50.A">'Red de Agua'!#REF!</definedName>
    <definedName name="rfor_1.10.50.B">'Red de Agua'!#REF!</definedName>
    <definedName name="rfor_1.20.00.A">'Red de Cloaca'!#REF!</definedName>
    <definedName name="rfor_1.20.00.B">'Red de Cloaca'!#REF!</definedName>
    <definedName name="rfor_1.20.00.F">'Red de Cloaca'!$B$3</definedName>
    <definedName name="rfor_1.20.01.F">'Red de Cloaca'!$B$18</definedName>
    <definedName name="rfor_1.20.50.A">'Red de Cloaca'!#REF!</definedName>
    <definedName name="rfor_1.20.50.B">'Red de Cloaca'!#REF!</definedName>
    <definedName name="rfor_1.40.00.A">'Red de Gas'!#REF!</definedName>
    <definedName name="rfor_1.40.01.F">'Red de Gas'!$B$3</definedName>
    <definedName name="rfor_1.60.01.F">'Red de Electricidad'!$B$3</definedName>
    <definedName name="rfor_1.60.02.F">'Red de Electricidad'!$B$21</definedName>
    <definedName name="rfor_1.60.03.F">'Red de Electricidad'!$B$38</definedName>
    <definedName name="rfor_1.60.04.F">'Red de Electricidad'!$B$58</definedName>
    <definedName name="rfor_1.80.01.A">'Red Vial'!$B$3</definedName>
    <definedName name="rfor_1.80.01.F">'Red Vial'!$B$16</definedName>
    <definedName name="rfor_1.80.02.F">'Red Vial'!$B$31</definedName>
    <definedName name="rfor_1.80.03.F">'Red Vial'!$B$49</definedName>
    <definedName name="rodillo_neum">Equipos!$Q$11</definedName>
    <definedName name="rodillodetiro">[1]Equipos!$Q$22</definedName>
    <definedName name="rodillopatacabraarr">[1]Equipos!$Q$23</definedName>
    <definedName name="rodillovibrarrast">[1]Equipos!$Q$24</definedName>
    <definedName name="tanqueacoplado">[1]Equipos!$Q$25</definedName>
    <definedName name="_xlnm.Print_Titles" localSheetId="1">'IN-10-14'!$1:$5</definedName>
    <definedName name="_xlnm.Print_Titles" localSheetId="0">Resumen!$1:$4</definedName>
    <definedName name="topadora">Equipos!$Q$15</definedName>
    <definedName name="topadora_d8k">Equipos!$Q$15</definedName>
    <definedName name="tractorengom">[1]Equipos!$Q$26</definedName>
    <definedName name="ufor_0.06.00.F">'Mov. Tierra'!$G$3</definedName>
    <definedName name="ufor_0.06.01.F">'Mov. Tierra'!$G$10</definedName>
    <definedName name="ufor_0.06.02.F">'Mov. Tierra'!$G$17</definedName>
    <definedName name="ufor_0.06.03.F">'Mov. Tierra'!$G$24</definedName>
    <definedName name="ufor_0.06.04.F">'Mov. Tierra'!$G$32</definedName>
    <definedName name="ufor_0.06.05.F">'Mov. Tierra'!#REF!</definedName>
    <definedName name="ufor_0.06.06.F">'Mov. Tierra'!$G$40</definedName>
    <definedName name="ufor_0.06.07.F">'Mov. Tierra'!$G$48</definedName>
    <definedName name="ufor_0.06.08.F">'Mov. Tierra'!$G$56</definedName>
    <definedName name="ufor_0.09.01.F">Fundaciones!$G$3</definedName>
    <definedName name="ufor_0.09.02.F">Fundaciones!$G$14</definedName>
    <definedName name="ufor_0.09.03.F">Fundaciones!$G$26</definedName>
    <definedName name="ufor_0.09.04.F">Fundaciones!$G$38</definedName>
    <definedName name="ufor_0.12.00.F">'Estr Resistente'!$G$3</definedName>
    <definedName name="ufor_0.12.01.F">'Estr Resistente'!$G$17</definedName>
    <definedName name="ufor_0.12.02.F">'Estr Resistente'!$G$30</definedName>
    <definedName name="ufor_0.12.03.F">'Estr Resistente'!$G$43</definedName>
    <definedName name="ufor_0.12.04.F">'Estr Resistente'!$G$56</definedName>
    <definedName name="ufor_0.12.05.F">'Estr Resistente'!$G$69</definedName>
    <definedName name="ufor_0.12.06.F">'Estr Resistente'!$G$84</definedName>
    <definedName name="ufor_0.12.07.F">'Estr Resistente'!$G$98</definedName>
    <definedName name="ufor_0.12.08.F">'Estr Resistente'!$G$111</definedName>
    <definedName name="ufor_0.12.09.F">'Estr Resistente'!$G$124</definedName>
    <definedName name="ufor_0.18.00.F">'Cerram ext int'!$G$3</definedName>
    <definedName name="ufor_0.18.01.F">'Cerram ext int'!$G$15</definedName>
    <definedName name="ufor_0.18.02.F">'Cerram ext int'!$G$27</definedName>
    <definedName name="ufor_0.18.15.F">'Cerram ext int'!$G$39</definedName>
    <definedName name="ufor_0.18.16.F">'Cerram ext int'!$G$52</definedName>
    <definedName name="ufor_0.18.17.F">'Cerram ext int'!$G$64</definedName>
    <definedName name="ufor_0.18.18.F">'Cerram ext int'!$G$76</definedName>
    <definedName name="ufor_0.18.25.F">'Cerram ext int'!$G$88</definedName>
    <definedName name="ufor_0.18.26.F">'Cerram ext int'!$G$100</definedName>
    <definedName name="ufor_0.18.27.F">'Cerram ext int'!$G$113</definedName>
    <definedName name="ufor_0.21.00.F">Aislaciones!$G$3</definedName>
    <definedName name="ufor_0.24.00.F">Revoques!$G$3</definedName>
    <definedName name="ufor_0.24.50.F">Revoques!$G$15</definedName>
    <definedName name="ufor_0.24.51.F">Revoques!$G$27</definedName>
    <definedName name="ufor_0.24.70.F">Revoques!$G$39</definedName>
    <definedName name="ufor_0.27.00.A">Solados!$G$3</definedName>
    <definedName name="ufor_0.27.10.A">Solados!$G$14</definedName>
    <definedName name="ufor_0.27.20.A">Solados!$G$25</definedName>
    <definedName name="ufor_0.27.25.A">Solados!$G$37</definedName>
    <definedName name="ufor_0.27.30.A">Solados!$G$49</definedName>
    <definedName name="ufor_0.27.31.A">Solados!$G$60</definedName>
    <definedName name="ufor_0.27.40.A">Solados!$G$73</definedName>
    <definedName name="ufor_0.27.40.F">Solados!$G$83</definedName>
    <definedName name="ufor_0.27.41.F">Solados!$G$94</definedName>
    <definedName name="ufor_0.30.00.A">Techos!$G$3</definedName>
    <definedName name="ufor_0.30.01.A">Techos!$G$18</definedName>
    <definedName name="ufor_0.30.15.A">Techos!$G$33</definedName>
    <definedName name="ufor_0.30.30.A">Techos!$G$43</definedName>
    <definedName name="ufor_0.30.31.A">Techos!$G$53</definedName>
    <definedName name="ufor_0.30.45.A">Techos!$G$64</definedName>
    <definedName name="ufor_0.30.60.A">Techos!$G$81</definedName>
    <definedName name="ufor_0.30.61.A">Techos!$G$96</definedName>
    <definedName name="ufor_0.33.00.A">Cielorrasos!$G$3</definedName>
    <definedName name="ufor_0.33.05.A">Cielorrasos!$G$17</definedName>
    <definedName name="ufor_0.33.10.A">Cielorrasos!$G$32</definedName>
    <definedName name="ufor_0.33.15.A">Cielorrasos!$G$41</definedName>
    <definedName name="ufor_0.33.30.A">Cielorrasos!$G$51</definedName>
    <definedName name="ufor_0.33.35.A">Cielorrasos!$G$62</definedName>
    <definedName name="ufor_0.33.36.F">Cielorrasos!$G$71</definedName>
    <definedName name="ufor_0.36.30.A">Revestimientos!$G$3</definedName>
    <definedName name="ufor_0.36.40.A">Revestimientos!$G$12</definedName>
    <definedName name="ufor_0.39.00.A">Carpintería!$G$3</definedName>
    <definedName name="ufor_0.39.01.F">Carpintería!$G$16</definedName>
    <definedName name="ufor_0.39.02.F">Carpintería!$G$25</definedName>
    <definedName name="ufor_0.39.03.F">Carpintería!$G$36</definedName>
    <definedName name="ufor_0.39.04.F">Carpintería!$G$48</definedName>
    <definedName name="ufor_0.39.05.F">Carpintería!$G$57</definedName>
    <definedName name="ufor_0.48.00.F">'Inst sanitaria'!$G$3</definedName>
    <definedName name="ufor_0.48.01.F">'Inst sanitaria'!$G$14</definedName>
    <definedName name="ufor_0.48.02.F">'Inst sanitaria'!$G$27</definedName>
    <definedName name="ufor_0.48.20.A">'Inst sanitaria'!$G$43</definedName>
    <definedName name="ufor_0.54.00.F">'Inst sanitaria'!$G$57</definedName>
    <definedName name="ufor_0.54.01.F">'Inst sanitaria'!$G$67</definedName>
    <definedName name="ufor_0.57.00.F">'Inst sanitaria'!$G$77</definedName>
    <definedName name="ufor_0.57.01.F">'Inst sanitaria'!$G$89</definedName>
    <definedName name="ufor_0.57.02.F">'Inst sanitaria'!$G$101</definedName>
    <definedName name="ufor_0.57.03.F">'Inst sanitaria'!$G$110</definedName>
    <definedName name="ufor_0.57.04.F">'Inst sanitaria'!$G$122</definedName>
    <definedName name="ufor_0.60.30.A">'Inst Gas'!$G$3</definedName>
    <definedName name="ufor_0.60.30.F">'Inst Gas'!$G$16</definedName>
    <definedName name="ufor_0.60.31.F">'Inst Gas'!$G$57</definedName>
    <definedName name="ufor_0.60.40.A">'Inst Gas'!$G$31</definedName>
    <definedName name="ufor_0.61.00.A">'Inst Gas'!$G$45</definedName>
    <definedName name="ufor_0.63.00.A">'Inst Eléctrica'!$G$3</definedName>
    <definedName name="ufor_0.63.20.A">'Inst Eléctrica'!$G$16</definedName>
    <definedName name="ufor_0.63.20.F">'Inst Eléctrica'!$G$30</definedName>
    <definedName name="ufor_0.72.00.A">Pintura!$G$3</definedName>
    <definedName name="ufor_0.72.20.A">Pintura!$G$15</definedName>
    <definedName name="ufor_0.72.30.A">Pintura!$G$26</definedName>
    <definedName name="ufor_0.72.40.A">Pintura!$G$37</definedName>
    <definedName name="ufor_0.72.41.F">Pintura!$G$49</definedName>
    <definedName name="ufor_0.72.42.F">Pintura!$G$59</definedName>
    <definedName name="ufor_0.72.50.F">Pintura!$G$70</definedName>
    <definedName name="ufor_0.78.00.A">Vidrios!$G$3</definedName>
    <definedName name="ufor_0.99.01.F">Varios!$G$3</definedName>
    <definedName name="ufor_0.99.02.F">Varios!$G$12</definedName>
    <definedName name="ufor_0.99.03.F">Varios!$G$21</definedName>
    <definedName name="ufor_0.99.04.F">Varios!$G$39</definedName>
    <definedName name="ufor_0.99.05.F">Varios!$G$49</definedName>
    <definedName name="ufor_0.99.06.F">Varios!$G$58</definedName>
    <definedName name="ufor_0.99.07.F">Varios!$G$67</definedName>
    <definedName name="ufor_0.99.08.F">Varios!$G$74</definedName>
    <definedName name="ufor_0.99.09.F">Varios!$G$82</definedName>
    <definedName name="ufor_0.99.10.F">Varios!$G$93</definedName>
    <definedName name="ufor_0.99.11.F">Varios!$G$102</definedName>
    <definedName name="ufor_1.10.00.F">'Red de Agua'!$G$3</definedName>
    <definedName name="ufor_1.10.01.F">'Red de Agua'!$G$19</definedName>
    <definedName name="ufor_1.10.02.F">'Red de Agua'!$G$33</definedName>
    <definedName name="ufor_1.10.03.F">'Red de Agua'!#REF!</definedName>
    <definedName name="ufor_1.10.50.A">'Red de Agua'!#REF!</definedName>
    <definedName name="ufor_1.10.50.B">'Red de Agua'!#REF!</definedName>
    <definedName name="ufor_1.20.00.A">'Red de Cloaca'!#REF!</definedName>
    <definedName name="ufor_1.20.00.B">'Red de Cloaca'!#REF!</definedName>
    <definedName name="ufor_1.20.00.F">'Red de Cloaca'!$G$3</definedName>
    <definedName name="ufor_1.20.01.F">'Red de Cloaca'!$G$18</definedName>
    <definedName name="ufor_1.20.50.A">'Red de Cloaca'!#REF!</definedName>
    <definedName name="ufor_1.20.50.B">'Red de Cloaca'!#REF!</definedName>
    <definedName name="ufor_1.40.00.A">'Red de Gas'!#REF!</definedName>
    <definedName name="ufor_1.40.01.F">'Red de Gas'!$G$3</definedName>
    <definedName name="ufor_1.60.01.F">'Red de Electricidad'!$G$3</definedName>
    <definedName name="ufor_1.60.02.F">'Red de Electricidad'!$G$21</definedName>
    <definedName name="ufor_1.60.03.F">'Red de Electricidad'!$G$38</definedName>
    <definedName name="ufor_1.60.04.F">'Red de Electricidad'!$G$58</definedName>
    <definedName name="ufor_1.80.01.A">'Red Vial'!$G$3</definedName>
    <definedName name="ufor_1.80.01.F">'Red Vial'!$G$16</definedName>
    <definedName name="ufor_1.80.02.F">'Red Vial'!$G$31</definedName>
    <definedName name="ufor_1.80.03.F">'Red Vial'!$G$49</definedName>
    <definedName name="UN.">'IN-10-14'!$C$6:$C$238</definedName>
    <definedName name="vfor_0.06.00.F">'Mov. Tierra'!$F$2</definedName>
    <definedName name="vfor_0.06.01.F">'Mov. Tierra'!$F$9</definedName>
    <definedName name="vfor_0.06.02.F">'Mov. Tierra'!$F$16</definedName>
    <definedName name="vfor_0.06.03.F">'Mov. Tierra'!$F$23</definedName>
    <definedName name="vfor_0.06.04.F">'Mov. Tierra'!$F$31</definedName>
    <definedName name="vfor_0.06.05.F">'Mov. Tierra'!#REF!</definedName>
    <definedName name="vfor_0.06.06.F">'Mov. Tierra'!$F$39</definedName>
    <definedName name="vfor_0.06.07.F">'Mov. Tierra'!$F$47</definedName>
    <definedName name="vfor_0.06.08.F">'Mov. Tierra'!$F$55</definedName>
    <definedName name="vfor_0.07.06.F">'Mov. Tierra'!$F$47</definedName>
    <definedName name="vfor_0.09.01.F">Fundaciones!$F$2</definedName>
    <definedName name="vfor_0.09.02.F">Fundaciones!$F$13</definedName>
    <definedName name="vfor_0.09.03.F">Fundaciones!$F$25</definedName>
    <definedName name="vfor_0.09.04.F">Fundaciones!$F$37</definedName>
    <definedName name="vfor_0.12.00.F">'Estr Resistente'!$F$2</definedName>
    <definedName name="vfor_0.12.01.F">'Estr Resistente'!$F$16</definedName>
    <definedName name="vfor_0.12.02.F">'Estr Resistente'!$F$29</definedName>
    <definedName name="vfor_0.12.03.F">'Estr Resistente'!$F$42</definedName>
    <definedName name="vfor_0.12.04.F">'Estr Resistente'!$F$55</definedName>
    <definedName name="vfor_0.12.05.F">'Estr Resistente'!$F$68</definedName>
    <definedName name="vfor_0.12.06.F">'Estr Resistente'!$F$83</definedName>
    <definedName name="vfor_0.12.07.F">'Estr Resistente'!$F$97</definedName>
    <definedName name="vfor_0.12.08.F">'Estr Resistente'!$F$110</definedName>
    <definedName name="vfor_0.12.09.F">'Estr Resistente'!$F$123</definedName>
    <definedName name="vfor_0.18.00.F">'Cerram ext int'!$F$2</definedName>
    <definedName name="vfor_0.18.01.F">'Cerram ext int'!$F$14</definedName>
    <definedName name="vfor_0.18.02.F">'Cerram ext int'!$F$26</definedName>
    <definedName name="vfor_0.18.15.F">'Cerram ext int'!$F$38</definedName>
    <definedName name="vfor_0.18.16.F">'Cerram ext int'!$F$51</definedName>
    <definedName name="vfor_0.18.17.F">'Cerram ext int'!$F$63</definedName>
    <definedName name="vfor_0.18.18.F">'Cerram ext int'!$F$75</definedName>
    <definedName name="vfor_0.18.25.F">'Cerram ext int'!$F$87</definedName>
    <definedName name="vfor_0.18.26.F">'Cerram ext int'!$F$99</definedName>
    <definedName name="vfor_0.18.27.F">'Cerram ext int'!$F$112</definedName>
    <definedName name="vfor_0.21.00.F">Aislaciones!$F$2</definedName>
    <definedName name="vfor_0.24.00.F">Revoques!$F$2</definedName>
    <definedName name="vfor_0.24.50.F">Revoques!$F$14</definedName>
    <definedName name="vfor_0.24.51.F">Revoques!$F$26</definedName>
    <definedName name="vfor_0.24.70.F">Revoques!$F$38</definedName>
    <definedName name="vfor_0.27.00.A">Solados!$F$2</definedName>
    <definedName name="vfor_0.27.10.A">Solados!$F$13</definedName>
    <definedName name="vfor_0.27.20.A">Solados!$F$24</definedName>
    <definedName name="vfor_0.27.25.A">Solados!$F$36</definedName>
    <definedName name="vfor_0.27.30.A">Solados!$F$48</definedName>
    <definedName name="vfor_0.27.31.A">Solados!$F$59</definedName>
    <definedName name="vfor_0.27.40.A">Solados!$F$72</definedName>
    <definedName name="vfor_0.27.40.F">Solados!$F$82</definedName>
    <definedName name="vfor_0.27.41.F">Solados!$F$93</definedName>
    <definedName name="vfor_0.30.00.A">Techos!$F$2</definedName>
    <definedName name="vfor_0.30.01.A">Techos!$F$17</definedName>
    <definedName name="vfor_0.30.15.A">Techos!$F$32</definedName>
    <definedName name="vfor_0.30.30.A">Techos!$F$42</definedName>
    <definedName name="vfor_0.30.31.A">Techos!$F$52</definedName>
    <definedName name="vfor_0.30.45.A">Techos!$F$63</definedName>
    <definedName name="vfor_0.30.60.A">Techos!$F$80</definedName>
    <definedName name="vfor_0.30.61.A">Techos!$F$95</definedName>
    <definedName name="vfor_0.33.00.A">Cielorrasos!$F$2</definedName>
    <definedName name="vfor_0.33.05.A">Cielorrasos!$F$16</definedName>
    <definedName name="vfor_0.33.10.A">Cielorrasos!$F$31</definedName>
    <definedName name="vfor_0.33.15.A">Cielorrasos!$F$40</definedName>
    <definedName name="vfor_0.33.30.A">Cielorrasos!$F$50</definedName>
    <definedName name="vfor_0.33.35.A">Cielorrasos!$F$61</definedName>
    <definedName name="vfor_0.33.36.F">Cielorrasos!$F$70</definedName>
    <definedName name="vfor_0.36.30.A">Revestimientos!$F$2</definedName>
    <definedName name="vfor_0.36.40.A">Revestimientos!$F$11</definedName>
    <definedName name="vfor_0.39.00.A">Carpintería!$F$2</definedName>
    <definedName name="vfor_0.39.01.F">Carpintería!$F$15</definedName>
    <definedName name="vfor_0.39.02.F">Carpintería!$F$24</definedName>
    <definedName name="vfor_0.39.03.F">Carpintería!$F$35</definedName>
    <definedName name="vfor_0.39.04.F">Carpintería!$F$47</definedName>
    <definedName name="vfor_0.39.05.F">Carpintería!$F$56</definedName>
    <definedName name="vfor_0.48.00.F">'Inst sanitaria'!$F$2</definedName>
    <definedName name="vfor_0.48.01.F">'Inst sanitaria'!$F$13</definedName>
    <definedName name="vfor_0.48.02.F">'Inst sanitaria'!$F$26</definedName>
    <definedName name="vfor_0.48.20.A">'Inst sanitaria'!$F$42</definedName>
    <definedName name="vfor_0.54.00.F">'Inst sanitaria'!$F$56</definedName>
    <definedName name="vfor_0.54.01.F">'Inst sanitaria'!$F$66</definedName>
    <definedName name="vfor_0.57.00.F">'Inst sanitaria'!$F$76</definedName>
    <definedName name="vfor_0.57.01.F">'Inst sanitaria'!$F$88</definedName>
    <definedName name="vfor_0.57.02.F">'Inst sanitaria'!$F$100</definedName>
    <definedName name="vfor_0.57.03.F">'Inst sanitaria'!$F$109</definedName>
    <definedName name="vfor_0.57.04.F">'Inst sanitaria'!$F$121</definedName>
    <definedName name="vfor_0.60.30.A">'Inst Gas'!$F$2</definedName>
    <definedName name="vfor_0.60.30.F">'Inst Gas'!$F$15</definedName>
    <definedName name="vfor_0.60.31.F">'Inst Gas'!$F$56</definedName>
    <definedName name="vfor_0.60.40.A">'Inst Gas'!$F$30</definedName>
    <definedName name="vfor_0.61.00.A">'Inst Gas'!$F$44</definedName>
    <definedName name="vfor_0.63.00.A">'Inst Eléctrica'!$F$2</definedName>
    <definedName name="vfor_0.63.20.A">'Inst Eléctrica'!$F$15</definedName>
    <definedName name="vfor_0.63.20.F">'Inst Eléctrica'!$F$29</definedName>
    <definedName name="vfor_0.72.00.A">Pintura!$F$2</definedName>
    <definedName name="vfor_0.72.20.A">Pintura!$F$14</definedName>
    <definedName name="vfor_0.72.30.A">Pintura!$F$25</definedName>
    <definedName name="vfor_0.72.40.A">Pintura!$F$36</definedName>
    <definedName name="vfor_0.72.41.F">Pintura!$F$48</definedName>
    <definedName name="vfor_0.72.42.F">Pintura!$F$58</definedName>
    <definedName name="vfor_0.72.50.F">Pintura!$F$69</definedName>
    <definedName name="vfor_0.78.00.A">Vidrios!$F$2</definedName>
    <definedName name="vfor_0.99.01.F">Varios!$F$2</definedName>
    <definedName name="vfor_0.99.02.F">Varios!$F$11</definedName>
    <definedName name="vfor_0.99.03.F">Varios!$F$20</definedName>
    <definedName name="vfor_0.99.04.F">Varios!$F$38</definedName>
    <definedName name="vfor_0.99.05.F">Varios!$F$48</definedName>
    <definedName name="vfor_0.99.06.F">Varios!$F$57</definedName>
    <definedName name="vfor_0.99.07.F">Varios!$F$66</definedName>
    <definedName name="vfor_0.99.08.F">Varios!$F$73</definedName>
    <definedName name="vfor_0.99.09.F">Varios!$F$81</definedName>
    <definedName name="vfor_0.99.10.F">Varios!$F$92</definedName>
    <definedName name="vfor_0.99.11.F">Varios!$F$101</definedName>
    <definedName name="vfor_1.10.00.F">'Red de Agua'!$F$2</definedName>
    <definedName name="vfor_1.10.01.F">'Red de Agua'!$F$18</definedName>
    <definedName name="vfor_1.10.02.F">'Red de Agua'!$F$32</definedName>
    <definedName name="vfor_1.10.03.F">'Red de Agua'!#REF!</definedName>
    <definedName name="vfor_1.10.50.A">'Red de Agua'!#REF!</definedName>
    <definedName name="vfor_1.10.50.B">'Red de Agua'!#REF!</definedName>
    <definedName name="vfor_1.20.00.A">'Red de Cloaca'!#REF!</definedName>
    <definedName name="vfor_1.20.00.B">'Red de Cloaca'!#REF!</definedName>
    <definedName name="vfor_1.20.00.F">'Red de Cloaca'!$F$2</definedName>
    <definedName name="vfor_1.20.01.F">'Red de Cloaca'!$F$17</definedName>
    <definedName name="vfor_1.20.50.A">'Red de Cloaca'!#REF!</definedName>
    <definedName name="vfor_1.20.50.B">'Red de Cloaca'!#REF!</definedName>
    <definedName name="vfor_1.40.00.A">'Red de Gas'!#REF!</definedName>
    <definedName name="vfor_1.40.01.F">'Red de Gas'!$F$2</definedName>
    <definedName name="vfor_1.60.01.F">'Red de Electricidad'!$F$2</definedName>
    <definedName name="vfor_1.60.02.F">'Red de Electricidad'!$F$20</definedName>
    <definedName name="vfor_1.60.03.F">'Red de Electricidad'!$F$37</definedName>
    <definedName name="vfor_1.60.04.F">'Red de Electricidad'!$F$57</definedName>
    <definedName name="vfor_1.80.01.A">'Red Vial'!$F$2</definedName>
    <definedName name="vfor_1.80.01.F">'Red Vial'!$F$15</definedName>
    <definedName name="vfor_1.80.02.F">'Red Vial'!$F$30</definedName>
    <definedName name="vfor_1.80.03.F">'Red Vial'!$F$48</definedName>
    <definedName name="vibradorinmnafta">[1]Equipos!$Q$27</definedName>
    <definedName name="vibrocom_autop">Equipos!$Q$12</definedName>
    <definedName name="Z_09545CA5_E1C8_49BD_AE60_33D558E425F1_.wvu.FilterData" localSheetId="1" hidden="1">'IN-10-14'!$A$1:$E$238</definedName>
    <definedName name="Z_0D76B64C_AC04_4788_917D_4511FD9E9090_.wvu.Cols" localSheetId="7" hidden="1">Aislaciones!#REF!</definedName>
    <definedName name="Z_0D76B64C_AC04_4788_917D_4511FD9E9090_.wvu.Cols" localSheetId="13" hidden="1">Carpintería!#REF!</definedName>
    <definedName name="Z_0D76B64C_AC04_4788_917D_4511FD9E9090_.wvu.Cols" localSheetId="6" hidden="1">'Cerram ext int'!#REF!</definedName>
    <definedName name="Z_0D76B64C_AC04_4788_917D_4511FD9E9090_.wvu.Cols" localSheetId="11" hidden="1">Cielorrasos!#REF!</definedName>
    <definedName name="Z_0D76B64C_AC04_4788_917D_4511FD9E9090_.wvu.Cols" localSheetId="5" hidden="1">'Estr Resistente'!#REF!</definedName>
    <definedName name="Z_0D76B64C_AC04_4788_917D_4511FD9E9090_.wvu.Cols" localSheetId="4" hidden="1">Fundaciones!#REF!</definedName>
    <definedName name="Z_0D76B64C_AC04_4788_917D_4511FD9E9090_.wvu.Cols" localSheetId="16" hidden="1">'Inst Eléctrica'!#REF!</definedName>
    <definedName name="Z_0D76B64C_AC04_4788_917D_4511FD9E9090_.wvu.Cols" localSheetId="15" hidden="1">'Inst Gas'!#REF!</definedName>
    <definedName name="Z_0D76B64C_AC04_4788_917D_4511FD9E9090_.wvu.Cols" localSheetId="14" hidden="1">'Inst sanitaria'!#REF!</definedName>
    <definedName name="Z_0D76B64C_AC04_4788_917D_4511FD9E9090_.wvu.Cols" localSheetId="3" hidden="1">'Mov. Tierra'!#REF!</definedName>
    <definedName name="Z_0D76B64C_AC04_4788_917D_4511FD9E9090_.wvu.Cols" localSheetId="17" hidden="1">Pintura!#REF!</definedName>
    <definedName name="Z_0D76B64C_AC04_4788_917D_4511FD9E9090_.wvu.Cols" localSheetId="20" hidden="1">'Red de Agua'!#REF!</definedName>
    <definedName name="Z_0D76B64C_AC04_4788_917D_4511FD9E9090_.wvu.Cols" localSheetId="21" hidden="1">'Red de Cloaca'!#REF!</definedName>
    <definedName name="Z_0D76B64C_AC04_4788_917D_4511FD9E9090_.wvu.Cols" localSheetId="23" hidden="1">'Red de Electricidad'!#REF!</definedName>
    <definedName name="Z_0D76B64C_AC04_4788_917D_4511FD9E9090_.wvu.Cols" localSheetId="22" hidden="1">'Red de Gas'!#REF!</definedName>
    <definedName name="Z_0D76B64C_AC04_4788_917D_4511FD9E9090_.wvu.Cols" localSheetId="24" hidden="1">'Red Vial'!#REF!</definedName>
    <definedName name="Z_0D76B64C_AC04_4788_917D_4511FD9E9090_.wvu.Cols" localSheetId="12" hidden="1">Revestimientos!#REF!</definedName>
    <definedName name="Z_0D76B64C_AC04_4788_917D_4511FD9E9090_.wvu.Cols" localSheetId="8" hidden="1">Revoques!#REF!</definedName>
    <definedName name="Z_0D76B64C_AC04_4788_917D_4511FD9E9090_.wvu.Cols" localSheetId="9" hidden="1">Solados!#REF!</definedName>
    <definedName name="Z_0D76B64C_AC04_4788_917D_4511FD9E9090_.wvu.Cols" localSheetId="10" hidden="1">Techos!#REF!</definedName>
    <definedName name="Z_0D76B64C_AC04_4788_917D_4511FD9E9090_.wvu.Cols" localSheetId="19" hidden="1">Varios!#REF!</definedName>
    <definedName name="Z_0D76B64C_AC04_4788_917D_4511FD9E9090_.wvu.Cols" localSheetId="18" hidden="1">Vidrios!#REF!</definedName>
    <definedName name="Z_0D76B64C_AC04_4788_917D_4511FD9E9090_.wvu.FilterData" localSheetId="1" hidden="1">'IN-10-14'!$A$1:$E$238</definedName>
    <definedName name="Z_0D76B64C_AC04_4788_917D_4511FD9E9090_.wvu.PrintArea" localSheetId="7" hidden="1">Aislaciones!$A$1:$G$14</definedName>
    <definedName name="Z_0D76B64C_AC04_4788_917D_4511FD9E9090_.wvu.PrintArea" localSheetId="13" hidden="1">Carpintería!$A$1:$G$34</definedName>
    <definedName name="Z_0D76B64C_AC04_4788_917D_4511FD9E9090_.wvu.PrintArea" localSheetId="6" hidden="1">'Cerram ext int'!$A$1:$G$97</definedName>
    <definedName name="Z_0D76B64C_AC04_4788_917D_4511FD9E9090_.wvu.PrintArea" localSheetId="11" hidden="1">Cielorrasos!$A$1:$G$68</definedName>
    <definedName name="Z_0D76B64C_AC04_4788_917D_4511FD9E9090_.wvu.PrintArea" localSheetId="5" hidden="1">'Estr Resistente'!$A$1:$G$96</definedName>
    <definedName name="Z_0D76B64C_AC04_4788_917D_4511FD9E9090_.wvu.PrintArea" localSheetId="4" hidden="1">Fundaciones!$A$1:$G$48</definedName>
    <definedName name="Z_0D76B64C_AC04_4788_917D_4511FD9E9090_.wvu.PrintArea" localSheetId="1" hidden="1">'IN-10-14'!$A$1:$E$238</definedName>
    <definedName name="Z_0D76B64C_AC04_4788_917D_4511FD9E9090_.wvu.PrintArea" localSheetId="16" hidden="1">'Inst Eléctrica'!$A$1:$G$42</definedName>
    <definedName name="Z_0D76B64C_AC04_4788_917D_4511FD9E9090_.wvu.PrintArea" localSheetId="15" hidden="1">'Inst Gas'!$A$1:$G$53</definedName>
    <definedName name="Z_0D76B64C_AC04_4788_917D_4511FD9E9090_.wvu.PrintArea" localSheetId="14" hidden="1">'Inst sanitaria'!$A$1:$G$98</definedName>
    <definedName name="Z_0D76B64C_AC04_4788_917D_4511FD9E9090_.wvu.PrintArea" localSheetId="17" hidden="1">Pintura!$A$1:$G$78</definedName>
    <definedName name="Z_0D76B64C_AC04_4788_917D_4511FD9E9090_.wvu.PrintArea" localSheetId="20" hidden="1">'Red de Agua'!$A$1:$G$31</definedName>
    <definedName name="Z_0D76B64C_AC04_4788_917D_4511FD9E9090_.wvu.PrintArea" localSheetId="21" hidden="1">'Red de Cloaca'!$A$1:$G$32</definedName>
    <definedName name="Z_0D76B64C_AC04_4788_917D_4511FD9E9090_.wvu.PrintArea" localSheetId="23" hidden="1">'Red de Electricidad'!#REF!</definedName>
    <definedName name="Z_0D76B64C_AC04_4788_917D_4511FD9E9090_.wvu.PrintArea" localSheetId="22" hidden="1">'Red de Gas'!$A$1:$G$26</definedName>
    <definedName name="Z_0D76B64C_AC04_4788_917D_4511FD9E9090_.wvu.PrintArea" localSheetId="24" hidden="1">'Red Vial'!$A$1:$G$27</definedName>
    <definedName name="Z_0D76B64C_AC04_4788_917D_4511FD9E9090_.wvu.PrintArea" localSheetId="12" hidden="1">Revestimientos!$A$1:$G$20</definedName>
    <definedName name="Z_0D76B64C_AC04_4788_917D_4511FD9E9090_.wvu.PrintArea" localSheetId="8" hidden="1">Revoques!$A$1:$G$48</definedName>
    <definedName name="Z_0D76B64C_AC04_4788_917D_4511FD9E9090_.wvu.PrintArea" localSheetId="9" hidden="1">Solados!$A$1:$G$104</definedName>
    <definedName name="Z_0D76B64C_AC04_4788_917D_4511FD9E9090_.wvu.PrintArea" localSheetId="10" hidden="1">Techos!$A$1:$G$94</definedName>
    <definedName name="Z_0D76B64C_AC04_4788_917D_4511FD9E9090_.wvu.PrintArea" localSheetId="19" hidden="1">Varios!$A$20:$G$46</definedName>
    <definedName name="Z_0D76B64C_AC04_4788_917D_4511FD9E9090_.wvu.PrintArea" localSheetId="18" hidden="1">Vidrios!$A$1:$G$7</definedName>
    <definedName name="Z_0D76B64C_AC04_4788_917D_4511FD9E9090_.wvu.PrintTitles" localSheetId="1" hidden="1">'IN-10-14'!$1:$5</definedName>
    <definedName name="Z_D8392041_DA66_4755_A670_C1D45774EC77_.wvu.Cols" localSheetId="1" hidden="1">'IN-10-14'!$E:$O</definedName>
    <definedName name="Z_D8392041_DA66_4755_A670_C1D45774EC77_.wvu.Cols" localSheetId="0" hidden="1">Resumen!$G:$G</definedName>
    <definedName name="Z_D8392041_DA66_4755_A670_C1D45774EC77_.wvu.FilterData" localSheetId="1" hidden="1">'IN-10-14'!$A$1:$E$238</definedName>
    <definedName name="Z_D8392041_DA66_4755_A670_C1D45774EC77_.wvu.PrintArea" localSheetId="7" hidden="1">Aislaciones!$A$1:$G$14</definedName>
    <definedName name="Z_D8392041_DA66_4755_A670_C1D45774EC77_.wvu.PrintArea" localSheetId="13" hidden="1">Carpintería!$A$1:$G$64</definedName>
    <definedName name="Z_D8392041_DA66_4755_A670_C1D45774EC77_.wvu.PrintArea" localSheetId="6" hidden="1">'Cerram ext int'!$A$1:$G$97</definedName>
    <definedName name="Z_D8392041_DA66_4755_A670_C1D45774EC77_.wvu.PrintArea" localSheetId="11" hidden="1">Cielorrasos!$A$1:$G$68</definedName>
    <definedName name="Z_D8392041_DA66_4755_A670_C1D45774EC77_.wvu.PrintArea" localSheetId="2" hidden="1">Equipos!$A$4:$Q$15</definedName>
    <definedName name="Z_D8392041_DA66_4755_A670_C1D45774EC77_.wvu.PrintArea" localSheetId="5" hidden="1">'Estr Resistente'!$A$1:$G$96</definedName>
    <definedName name="Z_D8392041_DA66_4755_A670_C1D45774EC77_.wvu.PrintArea" localSheetId="4" hidden="1">Fundaciones!$A$1:$G$48</definedName>
    <definedName name="Z_D8392041_DA66_4755_A670_C1D45774EC77_.wvu.PrintArea" localSheetId="1" hidden="1">'IN-10-14'!$A$1:$G$441</definedName>
    <definedName name="Z_D8392041_DA66_4755_A670_C1D45774EC77_.wvu.PrintArea" localSheetId="16" hidden="1">'Inst Eléctrica'!$A$44:$H$92</definedName>
    <definedName name="Z_D8392041_DA66_4755_A670_C1D45774EC77_.wvu.PrintArea" localSheetId="15" hidden="1">'Inst Gas'!$A$1:$G$53</definedName>
    <definedName name="Z_D8392041_DA66_4755_A670_C1D45774EC77_.wvu.PrintArea" localSheetId="14" hidden="1">'Inst sanitaria'!$A$231:$H$231</definedName>
    <definedName name="Z_D8392041_DA66_4755_A670_C1D45774EC77_.wvu.PrintArea" localSheetId="17" hidden="1">Pintura!$A$1:$G$78</definedName>
    <definedName name="Z_D8392041_DA66_4755_A670_C1D45774EC77_.wvu.PrintArea" localSheetId="20" hidden="1">'Red de Agua'!$A$1:$G$44</definedName>
    <definedName name="Z_D8392041_DA66_4755_A670_C1D45774EC77_.wvu.PrintArea" localSheetId="21" hidden="1">'Red de Cloaca'!$A$1:$G$32</definedName>
    <definedName name="Z_D8392041_DA66_4755_A670_C1D45774EC77_.wvu.PrintArea" localSheetId="22" hidden="1">'Red de Gas'!$A$1:$G$26</definedName>
    <definedName name="Z_D8392041_DA66_4755_A670_C1D45774EC77_.wvu.PrintArea" localSheetId="24" hidden="1">'Red Vial'!$A$15:$I$46</definedName>
    <definedName name="Z_D8392041_DA66_4755_A670_C1D45774EC77_.wvu.PrintArea" localSheetId="12" hidden="1">Revestimientos!$A$1:$G$20</definedName>
    <definedName name="Z_D8392041_DA66_4755_A670_C1D45774EC77_.wvu.PrintArea" localSheetId="8" hidden="1">Revoques!$A$1:$G$48</definedName>
    <definedName name="Z_D8392041_DA66_4755_A670_C1D45774EC77_.wvu.PrintArea" localSheetId="9" hidden="1">Solados!$A$1:$G$104</definedName>
    <definedName name="Z_D8392041_DA66_4755_A670_C1D45774EC77_.wvu.PrintArea" localSheetId="10" hidden="1">Techos!$A$1:$G$94</definedName>
    <definedName name="Z_D8392041_DA66_4755_A670_C1D45774EC77_.wvu.PrintArea" localSheetId="19" hidden="1">Varios!$A$20:$G$46</definedName>
    <definedName name="Z_D8392041_DA66_4755_A670_C1D45774EC77_.wvu.PrintArea" localSheetId="18" hidden="1">Vidrios!$A$1:$G$7</definedName>
    <definedName name="Z_D8392041_DA66_4755_A670_C1D45774EC77_.wvu.Rows" localSheetId="1" hidden="1">'IN-10-14'!$28:$28,'IN-10-14'!$50:$50,'IN-10-14'!$57:$57,'IN-10-14'!$88:$90,'IN-10-14'!$93:$95,'IN-10-14'!$99:$99,'IN-10-14'!$101:$101,'IN-10-14'!$103:$104,'IN-10-14'!$107:$107,'IN-10-14'!$132:$132,'IN-10-14'!$134:$134,'IN-10-14'!$136:$136,'IN-10-14'!$138:$138,'IN-10-14'!$140:$140,'IN-10-14'!$142:$142,'IN-10-14'!$144:$144,'IN-10-14'!$146:$146,'IN-10-14'!$148:$148,'IN-10-14'!$150:$150,'IN-10-14'!$152:$152,'IN-10-14'!$154:$154,'IN-10-14'!$156:$156,'IN-10-14'!$158:$158,'IN-10-14'!$160:$160,'IN-10-14'!$162:$162,'IN-10-14'!$164:$164,'IN-10-14'!$166:$166,'IN-10-14'!$168:$168,'IN-10-14'!$170:$170,'IN-10-14'!$173:$173,'IN-10-14'!$175:$175,'IN-10-14'!$177:$177,'IN-10-14'!$179:$179,'IN-10-14'!$181:$181,'IN-10-14'!$183:$183,'IN-10-14'!$185:$185,'IN-10-14'!$220:$224,'IN-10-14'!$227:$229,'IN-10-14'!$231:$231,'IN-10-14'!$251:$251,'IN-10-14'!$343:$347,'IN-10-14'!$355:$356,'IN-10-14'!$368:$368,'IN-10-14'!$409:$410,'IN-10-14'!$415:$415,'IN-10-14'!$426:$428,'IN-10-14'!$442:$443</definedName>
  </definedNames>
  <calcPr calcId="124519" fullCalcOnLoad="1"/>
  <customWorkbookViews>
    <customWorkbookView name="Antonio Romero - Vista personalizada" guid="{0D76B64C-AC04-4788-917D-4511FD9E9090}" autoUpdate="1" mergeInterval="5" personalView="1" xWindow="630" yWindow="37" windowWidth="615" windowHeight="816" tabRatio="872" activeSheetId="28"/>
    <customWorkbookView name="Marcelo Rodolfo Igarzábal - Vista personalizada" guid="{C15E55D9-D809-4247-9CD0-BFBEBF5D5546}" mergeInterval="0" personalView="1" maximized="1" windowWidth="1268" windowHeight="825" tabRatio="872" activeSheetId="29"/>
    <customWorkbookView name="Mejias - Vista personalizada" guid="{D8392041-DA66-4755-A670-C1D45774EC77}" mergeInterval="0" personalView="1" maximized="1" windowWidth="796" windowHeight="376" tabRatio="931" activeSheetId="4"/>
  </customWorkbookViews>
</workbook>
</file>

<file path=xl/calcChain.xml><?xml version="1.0" encoding="utf-8"?>
<calcChain xmlns="http://schemas.openxmlformats.org/spreadsheetml/2006/main">
  <c r="D28" i="26"/>
  <c r="D27"/>
  <c r="D26"/>
  <c r="D25"/>
  <c r="D24"/>
  <c r="D23"/>
  <c r="D22"/>
  <c r="D21"/>
  <c r="D30"/>
  <c r="B34" i="27"/>
  <c r="D34"/>
  <c r="F34"/>
  <c r="H34"/>
  <c r="J34"/>
  <c r="A40"/>
  <c r="B40"/>
  <c r="C40"/>
  <c r="D40"/>
  <c r="E40"/>
  <c r="B41"/>
  <c r="C41"/>
  <c r="D41"/>
  <c r="E41"/>
  <c r="E1" i="25"/>
  <c r="P1"/>
  <c r="B2"/>
  <c r="E2"/>
  <c r="B3"/>
  <c r="E3"/>
  <c r="I3"/>
  <c r="B4"/>
  <c r="E4"/>
  <c r="I4"/>
  <c r="B5"/>
  <c r="E5"/>
  <c r="I5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  <c r="B28"/>
  <c r="D28"/>
  <c r="B29"/>
  <c r="D29"/>
  <c r="B30"/>
  <c r="D30"/>
  <c r="B31"/>
  <c r="D31"/>
  <c r="B32"/>
  <c r="D32"/>
  <c r="B33"/>
  <c r="D33"/>
  <c r="B34"/>
  <c r="D34"/>
  <c r="B35"/>
  <c r="D35"/>
  <c r="B36"/>
  <c r="D36"/>
  <c r="B37"/>
  <c r="D37"/>
  <c r="B38"/>
  <c r="D38"/>
  <c r="B39"/>
  <c r="D39"/>
  <c r="B40"/>
  <c r="D40"/>
  <c r="B41"/>
  <c r="D41"/>
  <c r="B42"/>
  <c r="D42"/>
  <c r="B43"/>
  <c r="D43"/>
  <c r="B44"/>
  <c r="D44"/>
  <c r="B45"/>
  <c r="D45"/>
  <c r="B46"/>
  <c r="D46"/>
  <c r="B47"/>
  <c r="D47"/>
  <c r="B48"/>
  <c r="D48"/>
  <c r="B49"/>
  <c r="D49"/>
  <c r="B50"/>
  <c r="C50"/>
  <c r="D50"/>
  <c r="C2" i="24"/>
  <c r="B5"/>
  <c r="C5"/>
  <c r="B6"/>
  <c r="C6"/>
  <c r="B7"/>
  <c r="C7"/>
  <c r="B8"/>
  <c r="C8"/>
  <c r="B10"/>
  <c r="C10"/>
  <c r="B12"/>
  <c r="C12"/>
  <c r="B13"/>
  <c r="C13"/>
  <c r="C15"/>
  <c r="B18"/>
  <c r="C18"/>
  <c r="B19"/>
  <c r="C19"/>
  <c r="B20"/>
  <c r="C20"/>
  <c r="B22"/>
  <c r="C22"/>
  <c r="D22"/>
  <c r="B24"/>
  <c r="C24"/>
  <c r="B25"/>
  <c r="C25"/>
  <c r="B26"/>
  <c r="C26"/>
  <c r="B27"/>
  <c r="C27"/>
  <c r="B28"/>
  <c r="C28"/>
  <c r="C30"/>
  <c r="B34"/>
  <c r="C34"/>
  <c r="D34"/>
  <c r="B35"/>
  <c r="C35"/>
  <c r="D35"/>
  <c r="B36"/>
  <c r="C36"/>
  <c r="D36"/>
  <c r="B37"/>
  <c r="C37"/>
  <c r="B38"/>
  <c r="C38"/>
  <c r="B40"/>
  <c r="C40"/>
  <c r="B42"/>
  <c r="C42"/>
  <c r="B43"/>
  <c r="C43"/>
  <c r="B44"/>
  <c r="C44"/>
  <c r="B45"/>
  <c r="C45"/>
  <c r="B46"/>
  <c r="C46"/>
  <c r="C48"/>
  <c r="B52"/>
  <c r="C52"/>
  <c r="B54"/>
  <c r="C54"/>
  <c r="D54"/>
  <c r="B56"/>
  <c r="C56"/>
  <c r="D56"/>
  <c r="B57"/>
  <c r="C57"/>
  <c r="C2" i="23"/>
  <c r="B5"/>
  <c r="C5"/>
  <c r="B6"/>
  <c r="C6"/>
  <c r="B7"/>
  <c r="C7"/>
  <c r="B8"/>
  <c r="C8"/>
  <c r="B10"/>
  <c r="C10"/>
  <c r="B11"/>
  <c r="C11"/>
  <c r="B12"/>
  <c r="C12"/>
  <c r="B13"/>
  <c r="C13"/>
  <c r="B14"/>
  <c r="C14"/>
  <c r="B16"/>
  <c r="C16"/>
  <c r="B18"/>
  <c r="C18"/>
  <c r="C20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3"/>
  <c r="C33"/>
  <c r="B35"/>
  <c r="C35"/>
  <c r="C37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3"/>
  <c r="C53"/>
  <c r="B55"/>
  <c r="C55"/>
  <c r="C57"/>
  <c r="B60"/>
  <c r="C60"/>
  <c r="B61"/>
  <c r="C61"/>
  <c r="B62"/>
  <c r="C62"/>
  <c r="B64"/>
  <c r="C64"/>
  <c r="B66"/>
  <c r="C66"/>
  <c r="C2" i="22"/>
  <c r="B5"/>
  <c r="C5"/>
  <c r="B6"/>
  <c r="C6"/>
  <c r="B7"/>
  <c r="C7"/>
  <c r="B9"/>
  <c r="C9"/>
  <c r="B11"/>
  <c r="C11"/>
  <c r="C2" i="21"/>
  <c r="B5"/>
  <c r="C5"/>
  <c r="B6"/>
  <c r="C6"/>
  <c r="B7"/>
  <c r="C7"/>
  <c r="B8"/>
  <c r="C8"/>
  <c r="B9"/>
  <c r="C9"/>
  <c r="B10"/>
  <c r="C10"/>
  <c r="B11"/>
  <c r="C11"/>
  <c r="B13"/>
  <c r="C13"/>
  <c r="B15"/>
  <c r="C15"/>
  <c r="C17"/>
  <c r="B20"/>
  <c r="C20"/>
  <c r="B21"/>
  <c r="C21"/>
  <c r="B22"/>
  <c r="C22"/>
  <c r="B23"/>
  <c r="C23"/>
  <c r="B24"/>
  <c r="C24"/>
  <c r="B26"/>
  <c r="C26"/>
  <c r="B28"/>
  <c r="C28"/>
  <c r="C2" i="20"/>
  <c r="B5"/>
  <c r="C5"/>
  <c r="B6"/>
  <c r="C6"/>
  <c r="B7"/>
  <c r="C7"/>
  <c r="B8"/>
  <c r="C8"/>
  <c r="B9"/>
  <c r="C9"/>
  <c r="B10"/>
  <c r="C10"/>
  <c r="B11"/>
  <c r="C11"/>
  <c r="B12"/>
  <c r="C12"/>
  <c r="B14"/>
  <c r="C14"/>
  <c r="B16"/>
  <c r="C16"/>
  <c r="C18"/>
  <c r="B21"/>
  <c r="C21"/>
  <c r="B22"/>
  <c r="C22"/>
  <c r="B23"/>
  <c r="C23"/>
  <c r="B24"/>
  <c r="C24"/>
  <c r="B25"/>
  <c r="C25"/>
  <c r="B26"/>
  <c r="C26"/>
  <c r="B28"/>
  <c r="C28"/>
  <c r="B30"/>
  <c r="C30"/>
  <c r="C32"/>
  <c r="B35"/>
  <c r="C35"/>
  <c r="B36"/>
  <c r="C36"/>
  <c r="B37"/>
  <c r="C37"/>
  <c r="B38"/>
  <c r="C38"/>
  <c r="B39"/>
  <c r="C39"/>
  <c r="B40"/>
  <c r="C40"/>
  <c r="D40"/>
  <c r="B42"/>
  <c r="C42"/>
  <c r="D42"/>
  <c r="B44"/>
  <c r="C44"/>
  <c r="C2" i="19"/>
  <c r="B5"/>
  <c r="C5"/>
  <c r="D5"/>
  <c r="B6"/>
  <c r="C6"/>
  <c r="B7"/>
  <c r="C7"/>
  <c r="B9"/>
  <c r="C9"/>
  <c r="C11"/>
  <c r="B14"/>
  <c r="C14"/>
  <c r="D14"/>
  <c r="B15"/>
  <c r="C15"/>
  <c r="D15"/>
  <c r="B16"/>
  <c r="C16"/>
  <c r="D16"/>
  <c r="B18"/>
  <c r="C18"/>
  <c r="D18"/>
  <c r="C20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4"/>
  <c r="C34"/>
  <c r="B36"/>
  <c r="C36"/>
  <c r="C38"/>
  <c r="B41"/>
  <c r="C41"/>
  <c r="B42"/>
  <c r="C42"/>
  <c r="B44"/>
  <c r="C44"/>
  <c r="D44"/>
  <c r="B46"/>
  <c r="C46"/>
  <c r="C48"/>
  <c r="B51"/>
  <c r="C51"/>
  <c r="B52"/>
  <c r="C52"/>
  <c r="B54"/>
  <c r="C54"/>
  <c r="C57"/>
  <c r="B60"/>
  <c r="C60"/>
  <c r="B63"/>
  <c r="C63"/>
  <c r="C66"/>
  <c r="B69"/>
  <c r="C69"/>
  <c r="B71"/>
  <c r="C71"/>
  <c r="C73"/>
  <c r="B76"/>
  <c r="C76"/>
  <c r="B77"/>
  <c r="C77"/>
  <c r="B79"/>
  <c r="C79"/>
  <c r="C81"/>
  <c r="B84"/>
  <c r="C84"/>
  <c r="B85"/>
  <c r="C85"/>
  <c r="B86"/>
  <c r="C86"/>
  <c r="B88"/>
  <c r="C88"/>
  <c r="B90"/>
  <c r="C90"/>
  <c r="C92"/>
  <c r="B95"/>
  <c r="C95"/>
  <c r="B97"/>
  <c r="C97"/>
  <c r="B99"/>
  <c r="C99"/>
  <c r="C101"/>
  <c r="B104"/>
  <c r="C104"/>
  <c r="B105"/>
  <c r="C105"/>
  <c r="B107"/>
  <c r="C107"/>
  <c r="D107"/>
  <c r="B109"/>
  <c r="C109"/>
  <c r="C2" i="18"/>
  <c r="B5"/>
  <c r="C5"/>
  <c r="B7"/>
  <c r="C7"/>
  <c r="C2" i="17"/>
  <c r="B6"/>
  <c r="C6"/>
  <c r="B7"/>
  <c r="C7"/>
  <c r="B8"/>
  <c r="C8"/>
  <c r="B10"/>
  <c r="C10"/>
  <c r="D10"/>
  <c r="B12"/>
  <c r="C12"/>
  <c r="C14"/>
  <c r="B18"/>
  <c r="C18"/>
  <c r="B19"/>
  <c r="C19"/>
  <c r="B21"/>
  <c r="C21"/>
  <c r="B23"/>
  <c r="C23"/>
  <c r="C25"/>
  <c r="B29"/>
  <c r="C29"/>
  <c r="B30"/>
  <c r="C30"/>
  <c r="B32"/>
  <c r="C32"/>
  <c r="B34"/>
  <c r="C34"/>
  <c r="C36"/>
  <c r="B40"/>
  <c r="C40"/>
  <c r="B41"/>
  <c r="C41"/>
  <c r="B42"/>
  <c r="C42"/>
  <c r="B44"/>
  <c r="C44"/>
  <c r="D44"/>
  <c r="B46"/>
  <c r="C46"/>
  <c r="C48"/>
  <c r="B51"/>
  <c r="C51"/>
  <c r="B52"/>
  <c r="C52"/>
  <c r="B54"/>
  <c r="C54"/>
  <c r="D54"/>
  <c r="B56"/>
  <c r="C56"/>
  <c r="C58"/>
  <c r="B61"/>
  <c r="C61"/>
  <c r="B62"/>
  <c r="C62"/>
  <c r="B63"/>
  <c r="C63"/>
  <c r="B65"/>
  <c r="C65"/>
  <c r="D65"/>
  <c r="B67"/>
  <c r="C67"/>
  <c r="C69"/>
  <c r="B72"/>
  <c r="C72"/>
  <c r="B73"/>
  <c r="C73"/>
  <c r="B76"/>
  <c r="C76"/>
  <c r="B78"/>
  <c r="C78"/>
  <c r="C2" i="16"/>
  <c r="B5"/>
  <c r="C5"/>
  <c r="B6"/>
  <c r="C6"/>
  <c r="B7"/>
  <c r="C7"/>
  <c r="B8"/>
  <c r="C8"/>
  <c r="B9"/>
  <c r="C9"/>
  <c r="B11"/>
  <c r="C11"/>
  <c r="B13"/>
  <c r="C13"/>
  <c r="C15"/>
  <c r="B18"/>
  <c r="C18"/>
  <c r="B19"/>
  <c r="C19"/>
  <c r="B20"/>
  <c r="C20"/>
  <c r="B21"/>
  <c r="C21"/>
  <c r="B22"/>
  <c r="C22"/>
  <c r="B23"/>
  <c r="C23"/>
  <c r="B25"/>
  <c r="C25"/>
  <c r="B27"/>
  <c r="C27"/>
  <c r="C29"/>
  <c r="B32"/>
  <c r="C32"/>
  <c r="B33"/>
  <c r="C33"/>
  <c r="B34"/>
  <c r="C34"/>
  <c r="B35"/>
  <c r="C35"/>
  <c r="B36"/>
  <c r="C36"/>
  <c r="B37"/>
  <c r="C37"/>
  <c r="B38"/>
  <c r="C38"/>
  <c r="B40"/>
  <c r="C40"/>
  <c r="B42"/>
  <c r="C42"/>
  <c r="C2" i="15"/>
  <c r="B5"/>
  <c r="C5"/>
  <c r="B6"/>
  <c r="C6"/>
  <c r="B7"/>
  <c r="C7"/>
  <c r="E7"/>
  <c r="F7" s="1"/>
  <c r="B8"/>
  <c r="C8"/>
  <c r="B9"/>
  <c r="C9"/>
  <c r="B11"/>
  <c r="C11"/>
  <c r="B13"/>
  <c r="C13"/>
  <c r="C15"/>
  <c r="B18"/>
  <c r="C18"/>
  <c r="B19"/>
  <c r="C19"/>
  <c r="B20"/>
  <c r="C20"/>
  <c r="E20"/>
  <c r="F20"/>
  <c r="B21"/>
  <c r="C21"/>
  <c r="B22"/>
  <c r="C22"/>
  <c r="B23"/>
  <c r="C23"/>
  <c r="B24"/>
  <c r="C24"/>
  <c r="B26"/>
  <c r="C26"/>
  <c r="B28"/>
  <c r="C28"/>
  <c r="C30"/>
  <c r="B33"/>
  <c r="C33"/>
  <c r="B34"/>
  <c r="C34"/>
  <c r="B35"/>
  <c r="C35"/>
  <c r="E35"/>
  <c r="F35" s="1"/>
  <c r="B36"/>
  <c r="C36"/>
  <c r="B37"/>
  <c r="C37"/>
  <c r="B38"/>
  <c r="C38"/>
  <c r="B40"/>
  <c r="C40"/>
  <c r="B42"/>
  <c r="C42"/>
  <c r="C44"/>
  <c r="B47"/>
  <c r="C47"/>
  <c r="B48"/>
  <c r="C48"/>
  <c r="B49"/>
  <c r="C49"/>
  <c r="B51"/>
  <c r="C51"/>
  <c r="B53"/>
  <c r="C53"/>
  <c r="C56"/>
  <c r="B59"/>
  <c r="C59"/>
  <c r="B60"/>
  <c r="C60"/>
  <c r="B61"/>
  <c r="C61"/>
  <c r="E61"/>
  <c r="F61" s="1"/>
  <c r="B62"/>
  <c r="C62"/>
  <c r="B63"/>
  <c r="C63"/>
  <c r="B64"/>
  <c r="C64"/>
  <c r="B65"/>
  <c r="C65"/>
  <c r="B66"/>
  <c r="C66"/>
  <c r="B67"/>
  <c r="C67"/>
  <c r="B68"/>
  <c r="C68"/>
  <c r="B70"/>
  <c r="C70"/>
  <c r="D70"/>
  <c r="B72"/>
  <c r="C72"/>
  <c r="C2" i="14"/>
  <c r="B5"/>
  <c r="C5"/>
  <c r="B6"/>
  <c r="C6"/>
  <c r="B7"/>
  <c r="C7"/>
  <c r="B9"/>
  <c r="C9"/>
  <c r="B11"/>
  <c r="C11"/>
  <c r="C13"/>
  <c r="B16"/>
  <c r="C16"/>
  <c r="B17"/>
  <c r="C17"/>
  <c r="B18"/>
  <c r="C18"/>
  <c r="B19"/>
  <c r="C19"/>
  <c r="B20"/>
  <c r="C20"/>
  <c r="B22"/>
  <c r="C22"/>
  <c r="B24"/>
  <c r="C24"/>
  <c r="C26"/>
  <c r="B29"/>
  <c r="C29"/>
  <c r="B30"/>
  <c r="C30"/>
  <c r="B31"/>
  <c r="C31"/>
  <c r="B32"/>
  <c r="C32"/>
  <c r="B33"/>
  <c r="C33"/>
  <c r="B34"/>
  <c r="C34"/>
  <c r="B35"/>
  <c r="C35"/>
  <c r="B36"/>
  <c r="C36"/>
  <c r="B38"/>
  <c r="C38"/>
  <c r="D38"/>
  <c r="B40"/>
  <c r="C40"/>
  <c r="C42"/>
  <c r="B45"/>
  <c r="C45"/>
  <c r="B46"/>
  <c r="C46"/>
  <c r="B47"/>
  <c r="C47"/>
  <c r="B48"/>
  <c r="C48"/>
  <c r="B49"/>
  <c r="C49"/>
  <c r="B50"/>
  <c r="C50"/>
  <c r="B52"/>
  <c r="C52"/>
  <c r="B54"/>
  <c r="C54"/>
  <c r="C56"/>
  <c r="B59"/>
  <c r="C59"/>
  <c r="B60"/>
  <c r="C60"/>
  <c r="B62"/>
  <c r="C62"/>
  <c r="B64"/>
  <c r="C64"/>
  <c r="C66"/>
  <c r="B69"/>
  <c r="C69"/>
  <c r="B70"/>
  <c r="C70"/>
  <c r="B72"/>
  <c r="C72"/>
  <c r="B74"/>
  <c r="C74"/>
  <c r="C76"/>
  <c r="B79"/>
  <c r="C79"/>
  <c r="B80"/>
  <c r="C80"/>
  <c r="B81"/>
  <c r="C81"/>
  <c r="B82"/>
  <c r="C82"/>
  <c r="B84"/>
  <c r="C84"/>
  <c r="B86"/>
  <c r="C86"/>
  <c r="C88"/>
  <c r="B91"/>
  <c r="C91"/>
  <c r="B92"/>
  <c r="C92"/>
  <c r="B93"/>
  <c r="C93"/>
  <c r="B94"/>
  <c r="C94"/>
  <c r="B96"/>
  <c r="C96"/>
  <c r="B98"/>
  <c r="C98"/>
  <c r="C100"/>
  <c r="B103"/>
  <c r="C103"/>
  <c r="B105"/>
  <c r="C105"/>
  <c r="B107"/>
  <c r="C107"/>
  <c r="C109"/>
  <c r="B112"/>
  <c r="C112"/>
  <c r="B113"/>
  <c r="C113"/>
  <c r="D113"/>
  <c r="B114"/>
  <c r="C114"/>
  <c r="D114"/>
  <c r="B117"/>
  <c r="C117"/>
  <c r="D117"/>
  <c r="B119"/>
  <c r="C119"/>
  <c r="C121"/>
  <c r="B124"/>
  <c r="C124"/>
  <c r="B125"/>
  <c r="C125"/>
  <c r="B126"/>
  <c r="C126"/>
  <c r="B127"/>
  <c r="C127"/>
  <c r="B129"/>
  <c r="C129"/>
  <c r="B131"/>
  <c r="C131"/>
  <c r="C2" i="13"/>
  <c r="B5"/>
  <c r="C5"/>
  <c r="B6"/>
  <c r="C6"/>
  <c r="B7"/>
  <c r="C7"/>
  <c r="B8"/>
  <c r="C8"/>
  <c r="B10"/>
  <c r="C10"/>
  <c r="B12"/>
  <c r="C12"/>
  <c r="C15"/>
  <c r="B18"/>
  <c r="C18"/>
  <c r="B20"/>
  <c r="C20"/>
  <c r="B22"/>
  <c r="C22"/>
  <c r="C24"/>
  <c r="B27"/>
  <c r="C27"/>
  <c r="B28"/>
  <c r="C28"/>
  <c r="B29"/>
  <c r="C29"/>
  <c r="B31"/>
  <c r="C31"/>
  <c r="B33"/>
  <c r="C33"/>
  <c r="C35"/>
  <c r="B38"/>
  <c r="C38"/>
  <c r="B39"/>
  <c r="C39"/>
  <c r="B40"/>
  <c r="C40"/>
  <c r="B43"/>
  <c r="C43"/>
  <c r="D43"/>
  <c r="B45"/>
  <c r="C45"/>
  <c r="C47"/>
  <c r="B50"/>
  <c r="C50"/>
  <c r="B52"/>
  <c r="C52"/>
  <c r="B54"/>
  <c r="C54"/>
  <c r="C56"/>
  <c r="B59"/>
  <c r="C59"/>
  <c r="B60"/>
  <c r="C60"/>
  <c r="B62"/>
  <c r="C62"/>
  <c r="B64"/>
  <c r="C64"/>
  <c r="C2" i="12"/>
  <c r="B5"/>
  <c r="C5"/>
  <c r="B7"/>
  <c r="C7"/>
  <c r="B9"/>
  <c r="C9"/>
  <c r="C11"/>
  <c r="B14"/>
  <c r="C14"/>
  <c r="B15"/>
  <c r="C15"/>
  <c r="B16"/>
  <c r="C16"/>
  <c r="B18"/>
  <c r="C18"/>
  <c r="B20"/>
  <c r="C20"/>
  <c r="C2" i="11"/>
  <c r="B5"/>
  <c r="C5"/>
  <c r="B6"/>
  <c r="C6"/>
  <c r="B7"/>
  <c r="C7"/>
  <c r="B8"/>
  <c r="C8"/>
  <c r="B9"/>
  <c r="C9"/>
  <c r="B10"/>
  <c r="C10"/>
  <c r="B12"/>
  <c r="C12"/>
  <c r="B14"/>
  <c r="C14"/>
  <c r="C16"/>
  <c r="B19"/>
  <c r="C19"/>
  <c r="B20"/>
  <c r="C20"/>
  <c r="B21"/>
  <c r="C21"/>
  <c r="B22"/>
  <c r="C22"/>
  <c r="B23"/>
  <c r="C23"/>
  <c r="B24"/>
  <c r="C24"/>
  <c r="B25"/>
  <c r="C25"/>
  <c r="B27"/>
  <c r="C27"/>
  <c r="B29"/>
  <c r="C29"/>
  <c r="C31"/>
  <c r="B34"/>
  <c r="C34"/>
  <c r="B36"/>
  <c r="C36"/>
  <c r="B38"/>
  <c r="C38"/>
  <c r="C40"/>
  <c r="B43"/>
  <c r="C43"/>
  <c r="B44"/>
  <c r="C44"/>
  <c r="B46"/>
  <c r="C46"/>
  <c r="B48"/>
  <c r="C48"/>
  <c r="C50"/>
  <c r="B53"/>
  <c r="C53"/>
  <c r="B54"/>
  <c r="C54"/>
  <c r="B55"/>
  <c r="C55"/>
  <c r="B57"/>
  <c r="C57"/>
  <c r="B59"/>
  <c r="C59"/>
  <c r="C61"/>
  <c r="B64"/>
  <c r="C64"/>
  <c r="B66"/>
  <c r="C66"/>
  <c r="B68"/>
  <c r="C68"/>
  <c r="C70"/>
  <c r="B73"/>
  <c r="C73"/>
  <c r="B74"/>
  <c r="C74"/>
  <c r="E74"/>
  <c r="F74"/>
  <c r="B76"/>
  <c r="C76"/>
  <c r="B78"/>
  <c r="C78"/>
  <c r="C2" i="10"/>
  <c r="B5"/>
  <c r="C5"/>
  <c r="B6"/>
  <c r="C6"/>
  <c r="B7"/>
  <c r="C7"/>
  <c r="B8"/>
  <c r="C8"/>
  <c r="B9"/>
  <c r="C9"/>
  <c r="B10"/>
  <c r="C10"/>
  <c r="B12"/>
  <c r="C12"/>
  <c r="B14"/>
  <c r="C14"/>
  <c r="C17"/>
  <c r="B20"/>
  <c r="C20"/>
  <c r="B21"/>
  <c r="C21"/>
  <c r="B22"/>
  <c r="C22"/>
  <c r="B23"/>
  <c r="C23"/>
  <c r="B24"/>
  <c r="C24"/>
  <c r="B25"/>
  <c r="C25"/>
  <c r="B26"/>
  <c r="C26"/>
  <c r="B28"/>
  <c r="C28"/>
  <c r="B30"/>
  <c r="C30"/>
  <c r="C32"/>
  <c r="B35"/>
  <c r="C35"/>
  <c r="B36"/>
  <c r="C36"/>
  <c r="B38"/>
  <c r="C38"/>
  <c r="B40"/>
  <c r="C40"/>
  <c r="C42"/>
  <c r="B45"/>
  <c r="C45"/>
  <c r="B46"/>
  <c r="C46"/>
  <c r="B48"/>
  <c r="C48"/>
  <c r="B50"/>
  <c r="C50"/>
  <c r="C52"/>
  <c r="B55"/>
  <c r="C55"/>
  <c r="B56"/>
  <c r="C56"/>
  <c r="B57"/>
  <c r="C57"/>
  <c r="B59"/>
  <c r="C59"/>
  <c r="B61"/>
  <c r="C61"/>
  <c r="C63"/>
  <c r="B66"/>
  <c r="C66"/>
  <c r="B67"/>
  <c r="C67"/>
  <c r="B68"/>
  <c r="C68"/>
  <c r="B69"/>
  <c r="C69"/>
  <c r="B70"/>
  <c r="C70"/>
  <c r="B71"/>
  <c r="C71"/>
  <c r="B72"/>
  <c r="C72"/>
  <c r="B73"/>
  <c r="C73"/>
  <c r="B75"/>
  <c r="C75"/>
  <c r="B77"/>
  <c r="C77"/>
  <c r="C80"/>
  <c r="B83"/>
  <c r="C83"/>
  <c r="B84"/>
  <c r="C84"/>
  <c r="B85"/>
  <c r="C85"/>
  <c r="B86"/>
  <c r="C86"/>
  <c r="B87"/>
  <c r="C87"/>
  <c r="B88"/>
  <c r="C88"/>
  <c r="B89"/>
  <c r="C89"/>
  <c r="B91"/>
  <c r="C91"/>
  <c r="B93"/>
  <c r="C93"/>
  <c r="C95"/>
  <c r="B98"/>
  <c r="C98"/>
  <c r="B99"/>
  <c r="C99"/>
  <c r="B101"/>
  <c r="C101"/>
  <c r="B103"/>
  <c r="C103"/>
  <c r="C2" i="9"/>
  <c r="B5"/>
  <c r="C5"/>
  <c r="B6"/>
  <c r="C6"/>
  <c r="B7"/>
  <c r="C7"/>
  <c r="B9"/>
  <c r="C9"/>
  <c r="B11"/>
  <c r="C11"/>
  <c r="C13"/>
  <c r="B16"/>
  <c r="C16"/>
  <c r="B17"/>
  <c r="C17"/>
  <c r="B18"/>
  <c r="C18"/>
  <c r="B20"/>
  <c r="C20"/>
  <c r="B22"/>
  <c r="C22"/>
  <c r="C24"/>
  <c r="B27"/>
  <c r="C27"/>
  <c r="B28"/>
  <c r="C28"/>
  <c r="B29"/>
  <c r="C29"/>
  <c r="B30"/>
  <c r="C30"/>
  <c r="B32"/>
  <c r="C32"/>
  <c r="B34"/>
  <c r="C34"/>
  <c r="C36"/>
  <c r="B39"/>
  <c r="C39"/>
  <c r="B40"/>
  <c r="C40"/>
  <c r="B41"/>
  <c r="C41"/>
  <c r="B42"/>
  <c r="C42"/>
  <c r="B44"/>
  <c r="C44"/>
  <c r="B46"/>
  <c r="C46"/>
  <c r="C48"/>
  <c r="B51"/>
  <c r="C51"/>
  <c r="B52"/>
  <c r="C52"/>
  <c r="B53"/>
  <c r="C53"/>
  <c r="B55"/>
  <c r="C55"/>
  <c r="B57"/>
  <c r="C57"/>
  <c r="C59"/>
  <c r="B62"/>
  <c r="C62"/>
  <c r="B63"/>
  <c r="C63"/>
  <c r="B64"/>
  <c r="C64"/>
  <c r="B65"/>
  <c r="C65"/>
  <c r="B66"/>
  <c r="C66"/>
  <c r="B68"/>
  <c r="C68"/>
  <c r="B70"/>
  <c r="C70"/>
  <c r="C72"/>
  <c r="B75"/>
  <c r="C75"/>
  <c r="B76"/>
  <c r="C76"/>
  <c r="B78"/>
  <c r="C78"/>
  <c r="B80"/>
  <c r="C80"/>
  <c r="C82"/>
  <c r="B86"/>
  <c r="C86"/>
  <c r="B87"/>
  <c r="C87"/>
  <c r="B89"/>
  <c r="C89"/>
  <c r="B91"/>
  <c r="C91"/>
  <c r="C93"/>
  <c r="B97"/>
  <c r="C97"/>
  <c r="D97"/>
  <c r="B98"/>
  <c r="C98"/>
  <c r="B99"/>
  <c r="C99"/>
  <c r="B101"/>
  <c r="C101"/>
  <c r="B103"/>
  <c r="C103"/>
  <c r="C2" i="8"/>
  <c r="B5"/>
  <c r="C5"/>
  <c r="B6"/>
  <c r="C6"/>
  <c r="B7"/>
  <c r="C7"/>
  <c r="B8"/>
  <c r="C8"/>
  <c r="B10"/>
  <c r="C10"/>
  <c r="B12"/>
  <c r="C12"/>
  <c r="C14"/>
  <c r="B18"/>
  <c r="C18"/>
  <c r="B19"/>
  <c r="C19"/>
  <c r="B20"/>
  <c r="C20"/>
  <c r="B22"/>
  <c r="C22"/>
  <c r="B24"/>
  <c r="C24"/>
  <c r="C26"/>
  <c r="B29"/>
  <c r="C29"/>
  <c r="B30"/>
  <c r="C30"/>
  <c r="B31"/>
  <c r="C31"/>
  <c r="B32"/>
  <c r="C32"/>
  <c r="B34"/>
  <c r="C34"/>
  <c r="B36"/>
  <c r="C36"/>
  <c r="C38"/>
  <c r="B41"/>
  <c r="C41"/>
  <c r="B42"/>
  <c r="C42"/>
  <c r="B43"/>
  <c r="C43"/>
  <c r="B44"/>
  <c r="C44"/>
  <c r="B46"/>
  <c r="C46"/>
  <c r="B48"/>
  <c r="C48"/>
  <c r="C2" i="7"/>
  <c r="B5"/>
  <c r="C5"/>
  <c r="D5"/>
  <c r="B6"/>
  <c r="C6"/>
  <c r="B7"/>
  <c r="C7"/>
  <c r="B8"/>
  <c r="C8"/>
  <c r="B9"/>
  <c r="C9"/>
  <c r="B11"/>
  <c r="C11"/>
  <c r="B13"/>
  <c r="C13"/>
  <c r="C2" i="6"/>
  <c r="B5"/>
  <c r="C5"/>
  <c r="B6"/>
  <c r="C6"/>
  <c r="B7"/>
  <c r="C7"/>
  <c r="B8"/>
  <c r="C8"/>
  <c r="B10"/>
  <c r="C10"/>
  <c r="B12"/>
  <c r="C12"/>
  <c r="C14"/>
  <c r="B17"/>
  <c r="C17"/>
  <c r="B18"/>
  <c r="C18"/>
  <c r="B19"/>
  <c r="C19"/>
  <c r="B20"/>
  <c r="C20"/>
  <c r="B22"/>
  <c r="C22"/>
  <c r="B24"/>
  <c r="C24"/>
  <c r="C26"/>
  <c r="B29"/>
  <c r="C29"/>
  <c r="B30"/>
  <c r="C30"/>
  <c r="B31"/>
  <c r="C31"/>
  <c r="B32"/>
  <c r="C32"/>
  <c r="B34"/>
  <c r="C34"/>
  <c r="B36"/>
  <c r="C36"/>
  <c r="C38"/>
  <c r="B41"/>
  <c r="C41"/>
  <c r="B42"/>
  <c r="C42"/>
  <c r="B43"/>
  <c r="C43"/>
  <c r="B44"/>
  <c r="C44"/>
  <c r="B45"/>
  <c r="C45"/>
  <c r="B47"/>
  <c r="C47"/>
  <c r="B49"/>
  <c r="C49"/>
  <c r="C51"/>
  <c r="B54"/>
  <c r="C54"/>
  <c r="B55"/>
  <c r="C55"/>
  <c r="B56"/>
  <c r="C56"/>
  <c r="B57"/>
  <c r="C57"/>
  <c r="B59"/>
  <c r="C59"/>
  <c r="B61"/>
  <c r="C61"/>
  <c r="C63"/>
  <c r="B66"/>
  <c r="C66"/>
  <c r="B67"/>
  <c r="C67"/>
  <c r="B68"/>
  <c r="C68"/>
  <c r="B69"/>
  <c r="C69"/>
  <c r="B71"/>
  <c r="C71"/>
  <c r="B73"/>
  <c r="C73"/>
  <c r="C75"/>
  <c r="B78"/>
  <c r="C78"/>
  <c r="B79"/>
  <c r="C79"/>
  <c r="B80"/>
  <c r="C80"/>
  <c r="B81"/>
  <c r="C81"/>
  <c r="B83"/>
  <c r="C83"/>
  <c r="B85"/>
  <c r="C85"/>
  <c r="C87"/>
  <c r="B90"/>
  <c r="C90"/>
  <c r="B91"/>
  <c r="C91"/>
  <c r="B92"/>
  <c r="C92"/>
  <c r="B93"/>
  <c r="C93"/>
  <c r="B95"/>
  <c r="C95"/>
  <c r="B97"/>
  <c r="C97"/>
  <c r="C99"/>
  <c r="B102"/>
  <c r="C102"/>
  <c r="B103"/>
  <c r="C103"/>
  <c r="D103"/>
  <c r="B104"/>
  <c r="C104"/>
  <c r="B105"/>
  <c r="C105"/>
  <c r="B106"/>
  <c r="C106"/>
  <c r="B108"/>
  <c r="C108"/>
  <c r="D108"/>
  <c r="B110"/>
  <c r="C110"/>
  <c r="C112"/>
  <c r="B115"/>
  <c r="C115"/>
  <c r="D115"/>
  <c r="B116"/>
  <c r="C116"/>
  <c r="D116"/>
  <c r="B117"/>
  <c r="C117"/>
  <c r="B118"/>
  <c r="C118"/>
  <c r="D118"/>
  <c r="B119"/>
  <c r="C119"/>
  <c r="B120"/>
  <c r="C120"/>
  <c r="B121"/>
  <c r="C121"/>
  <c r="B123"/>
  <c r="C123"/>
  <c r="D123"/>
  <c r="B125"/>
  <c r="C125"/>
  <c r="C2" i="5"/>
  <c r="B5"/>
  <c r="C5"/>
  <c r="B6"/>
  <c r="C6"/>
  <c r="B7"/>
  <c r="C7"/>
  <c r="B8"/>
  <c r="C8"/>
  <c r="B9"/>
  <c r="C9"/>
  <c r="B11"/>
  <c r="C11"/>
  <c r="B13"/>
  <c r="C13"/>
  <c r="C16"/>
  <c r="B19"/>
  <c r="C19"/>
  <c r="B20"/>
  <c r="C20"/>
  <c r="B21"/>
  <c r="C21"/>
  <c r="B22"/>
  <c r="C22"/>
  <c r="B23"/>
  <c r="C23"/>
  <c r="B25"/>
  <c r="C25"/>
  <c r="B27"/>
  <c r="C27"/>
  <c r="C29"/>
  <c r="B32"/>
  <c r="C32"/>
  <c r="B33"/>
  <c r="C33"/>
  <c r="B34"/>
  <c r="C34"/>
  <c r="B35"/>
  <c r="C35"/>
  <c r="B36"/>
  <c r="C36"/>
  <c r="B38"/>
  <c r="C38"/>
  <c r="B40"/>
  <c r="C40"/>
  <c r="C42"/>
  <c r="B45"/>
  <c r="C45"/>
  <c r="B46"/>
  <c r="C46"/>
  <c r="B47"/>
  <c r="C47"/>
  <c r="B48"/>
  <c r="C48"/>
  <c r="B49"/>
  <c r="C49"/>
  <c r="B51"/>
  <c r="C51"/>
  <c r="B53"/>
  <c r="C53"/>
  <c r="C55"/>
  <c r="B58"/>
  <c r="C58"/>
  <c r="B59"/>
  <c r="C59"/>
  <c r="B60"/>
  <c r="C60"/>
  <c r="B61"/>
  <c r="C61"/>
  <c r="B62"/>
  <c r="C62"/>
  <c r="B64"/>
  <c r="C64"/>
  <c r="B66"/>
  <c r="C66"/>
  <c r="C68"/>
  <c r="B71"/>
  <c r="C71"/>
  <c r="B72"/>
  <c r="C72"/>
  <c r="B73"/>
  <c r="C73"/>
  <c r="B74"/>
  <c r="C74"/>
  <c r="B75"/>
  <c r="C75"/>
  <c r="B76"/>
  <c r="C76"/>
  <c r="B77"/>
  <c r="C77"/>
  <c r="B79"/>
  <c r="C79"/>
  <c r="B81"/>
  <c r="C81"/>
  <c r="C83"/>
  <c r="B86"/>
  <c r="C86"/>
  <c r="B87"/>
  <c r="C87"/>
  <c r="B88"/>
  <c r="C88"/>
  <c r="B89"/>
  <c r="C89"/>
  <c r="B90"/>
  <c r="C90"/>
  <c r="B91"/>
  <c r="C91"/>
  <c r="B93"/>
  <c r="C93"/>
  <c r="B95"/>
  <c r="C95"/>
  <c r="C97"/>
  <c r="B100"/>
  <c r="C100"/>
  <c r="D100"/>
  <c r="B101"/>
  <c r="C101"/>
  <c r="B102"/>
  <c r="C102"/>
  <c r="B103"/>
  <c r="C103"/>
  <c r="B104"/>
  <c r="C104"/>
  <c r="B106"/>
  <c r="C106"/>
  <c r="D106"/>
  <c r="B108"/>
  <c r="C108"/>
  <c r="C110"/>
  <c r="B113"/>
  <c r="C113"/>
  <c r="D113"/>
  <c r="B114"/>
  <c r="C114"/>
  <c r="B115"/>
  <c r="C115"/>
  <c r="B116"/>
  <c r="C116"/>
  <c r="B117"/>
  <c r="C117"/>
  <c r="B119"/>
  <c r="C119"/>
  <c r="B121"/>
  <c r="C121"/>
  <c r="C123"/>
  <c r="B126"/>
  <c r="C126"/>
  <c r="D126"/>
  <c r="B127"/>
  <c r="C127"/>
  <c r="B128"/>
  <c r="C128"/>
  <c r="B129"/>
  <c r="C129"/>
  <c r="B130"/>
  <c r="C130"/>
  <c r="B132"/>
  <c r="C132"/>
  <c r="B134"/>
  <c r="C134"/>
  <c r="C2" i="4"/>
  <c r="B5"/>
  <c r="C5"/>
  <c r="B6"/>
  <c r="C6"/>
  <c r="B7"/>
  <c r="C7"/>
  <c r="B9"/>
  <c r="C9"/>
  <c r="B11"/>
  <c r="C11"/>
  <c r="C13"/>
  <c r="B16"/>
  <c r="C16"/>
  <c r="B17"/>
  <c r="C17"/>
  <c r="B18"/>
  <c r="C18"/>
  <c r="B19"/>
  <c r="C19"/>
  <c r="B21"/>
  <c r="C21"/>
  <c r="B23"/>
  <c r="C23"/>
  <c r="C25"/>
  <c r="B28"/>
  <c r="C28"/>
  <c r="B29"/>
  <c r="C29"/>
  <c r="B30"/>
  <c r="C30"/>
  <c r="B31"/>
  <c r="C31"/>
  <c r="B33"/>
  <c r="C33"/>
  <c r="B35"/>
  <c r="C35"/>
  <c r="C37"/>
  <c r="B40"/>
  <c r="C40"/>
  <c r="B41"/>
  <c r="C41"/>
  <c r="B42"/>
  <c r="C42"/>
  <c r="B43"/>
  <c r="C43"/>
  <c r="B45"/>
  <c r="C45"/>
  <c r="B47"/>
  <c r="C47"/>
  <c r="C2" i="3"/>
  <c r="B6"/>
  <c r="C6"/>
  <c r="C9"/>
  <c r="B13"/>
  <c r="C13"/>
  <c r="C16"/>
  <c r="B20"/>
  <c r="C20"/>
  <c r="C23"/>
  <c r="B27"/>
  <c r="C27"/>
  <c r="B29"/>
  <c r="C29"/>
  <c r="C31"/>
  <c r="B35"/>
  <c r="C35"/>
  <c r="B37"/>
  <c r="C37"/>
  <c r="C39"/>
  <c r="B43"/>
  <c r="C43"/>
  <c r="B45"/>
  <c r="C45"/>
  <c r="C47"/>
  <c r="B51"/>
  <c r="C51"/>
  <c r="B53"/>
  <c r="C53"/>
  <c r="C55"/>
  <c r="B59"/>
  <c r="C59"/>
  <c r="B61"/>
  <c r="C61"/>
  <c r="B62"/>
  <c r="C62"/>
  <c r="Q3" i="26"/>
  <c r="A1" i="2"/>
  <c r="O6"/>
  <c r="O7"/>
  <c r="O8"/>
  <c r="E99" i="9"/>
  <c r="F99" s="1"/>
  <c r="O9" i="2"/>
  <c r="O10"/>
  <c r="E88" i="10"/>
  <c r="F88" s="1"/>
  <c r="O11" i="2"/>
  <c r="E6" i="10"/>
  <c r="F6"/>
  <c r="O12" i="2"/>
  <c r="O13"/>
  <c r="E26" i="19"/>
  <c r="F26"/>
  <c r="O14" i="2"/>
  <c r="H15"/>
  <c r="O15"/>
  <c r="E27" i="19"/>
  <c r="F27" s="1"/>
  <c r="H16" i="2"/>
  <c r="O16"/>
  <c r="H17"/>
  <c r="O17"/>
  <c r="E30" i="19"/>
  <c r="F30" s="1"/>
  <c r="H18" i="2"/>
  <c r="O18"/>
  <c r="E19"/>
  <c r="H19"/>
  <c r="O19"/>
  <c r="O20"/>
  <c r="E29" i="19"/>
  <c r="F29" s="1"/>
  <c r="O21" i="2"/>
  <c r="O22"/>
  <c r="E23"/>
  <c r="O23"/>
  <c r="O26"/>
  <c r="O27"/>
  <c r="O28"/>
  <c r="E20" i="10"/>
  <c r="F20"/>
  <c r="O30" i="2"/>
  <c r="O31"/>
  <c r="E7" i="8"/>
  <c r="F7"/>
  <c r="J32" i="2"/>
  <c r="O32"/>
  <c r="E5" i="10"/>
  <c r="F5"/>
  <c r="I33" i="2"/>
  <c r="O33"/>
  <c r="E34"/>
  <c r="O34"/>
  <c r="E38" i="24"/>
  <c r="F38"/>
  <c r="O35" i="2"/>
  <c r="E6" i="7"/>
  <c r="F6" s="1"/>
  <c r="G36" i="2"/>
  <c r="O36"/>
  <c r="O37"/>
  <c r="E25" i="10"/>
  <c r="F25"/>
  <c r="O38" i="2"/>
  <c r="E21" i="10"/>
  <c r="F21" s="1"/>
  <c r="O39" i="2"/>
  <c r="G40"/>
  <c r="H40"/>
  <c r="O40"/>
  <c r="G41"/>
  <c r="O41"/>
  <c r="O42"/>
  <c r="O43"/>
  <c r="O44"/>
  <c r="O45"/>
  <c r="E20" i="24"/>
  <c r="F20" s="1"/>
  <c r="O46" i="2"/>
  <c r="O47"/>
  <c r="O48"/>
  <c r="O49"/>
  <c r="O50"/>
  <c r="O51"/>
  <c r="O52"/>
  <c r="E16" i="12"/>
  <c r="F16"/>
  <c r="O53" i="2"/>
  <c r="E92" i="6"/>
  <c r="F92" s="1"/>
  <c r="O54" i="2"/>
  <c r="E89" i="10"/>
  <c r="F89"/>
  <c r="O55" i="2"/>
  <c r="O56"/>
  <c r="O57"/>
  <c r="O58"/>
  <c r="O59"/>
  <c r="O60"/>
  <c r="E36" i="10"/>
  <c r="F36"/>
  <c r="O61" i="2"/>
  <c r="E35" i="10"/>
  <c r="F35" s="1"/>
  <c r="J62" i="2"/>
  <c r="O62"/>
  <c r="E46" i="10"/>
  <c r="F46" s="1"/>
  <c r="O63" i="2"/>
  <c r="O64"/>
  <c r="E60" i="19"/>
  <c r="F60" s="1"/>
  <c r="H65" i="2"/>
  <c r="O65"/>
  <c r="O66"/>
  <c r="O67"/>
  <c r="O68"/>
  <c r="O69"/>
  <c r="O70"/>
  <c r="E32" i="16"/>
  <c r="F32"/>
  <c r="H71" i="2"/>
  <c r="O71"/>
  <c r="O72"/>
  <c r="O73"/>
  <c r="O74"/>
  <c r="O75"/>
  <c r="O76"/>
  <c r="O77"/>
  <c r="O78"/>
  <c r="O79"/>
  <c r="O80"/>
  <c r="O81"/>
  <c r="O82"/>
  <c r="O83"/>
  <c r="O84"/>
  <c r="E85"/>
  <c r="O85"/>
  <c r="O86"/>
  <c r="F87"/>
  <c r="O87"/>
  <c r="F88"/>
  <c r="O88"/>
  <c r="O89"/>
  <c r="O90"/>
  <c r="F91"/>
  <c r="O91"/>
  <c r="F92"/>
  <c r="O92"/>
  <c r="F93"/>
  <c r="O93"/>
  <c r="F94"/>
  <c r="O94"/>
  <c r="F95"/>
  <c r="O95"/>
  <c r="F96"/>
  <c r="O96"/>
  <c r="F97"/>
  <c r="O97"/>
  <c r="F98"/>
  <c r="O98"/>
  <c r="F99"/>
  <c r="O99"/>
  <c r="O100"/>
  <c r="E101"/>
  <c r="O101"/>
  <c r="O102"/>
  <c r="E103"/>
  <c r="O103"/>
  <c r="E104"/>
  <c r="O104"/>
  <c r="O105"/>
  <c r="O106"/>
  <c r="K107"/>
  <c r="O107"/>
  <c r="O108"/>
  <c r="C5" i="25"/>
  <c r="O112" i="2"/>
  <c r="C7" i="26"/>
  <c r="O113" i="2"/>
  <c r="C8" i="26"/>
  <c r="O115" i="2"/>
  <c r="O116"/>
  <c r="C9" i="26"/>
  <c r="O117" i="2"/>
  <c r="C10" i="26"/>
  <c r="O119" i="2"/>
  <c r="O120"/>
  <c r="C11" i="26"/>
  <c r="O121" i="2"/>
  <c r="O122"/>
  <c r="C12" i="26"/>
  <c r="O123" i="2"/>
  <c r="O124"/>
  <c r="C13" i="26"/>
  <c r="O125" i="2"/>
  <c r="C17" i="26"/>
  <c r="O127" i="2"/>
  <c r="O128"/>
  <c r="C14" i="26"/>
  <c r="O129" i="2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I152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K176"/>
  <c r="O176"/>
  <c r="O177"/>
  <c r="O178"/>
  <c r="O179"/>
  <c r="C15" i="26"/>
  <c r="O180" i="2"/>
  <c r="O181"/>
  <c r="O182"/>
  <c r="O183"/>
  <c r="C16" i="26"/>
  <c r="O184" i="2"/>
  <c r="I185"/>
  <c r="O185"/>
  <c r="C3" i="25"/>
  <c r="O186" i="2"/>
  <c r="C4" i="25"/>
  <c r="O187" i="2"/>
  <c r="K3" i="25"/>
  <c r="O188" i="2"/>
  <c r="K4" i="25"/>
  <c r="O189" i="2"/>
  <c r="K5" i="25"/>
  <c r="O190" i="2"/>
  <c r="C2" i="25"/>
  <c r="O191" i="2"/>
  <c r="G2" i="25"/>
  <c r="O192" i="2"/>
  <c r="E95" i="19"/>
  <c r="F95" s="1"/>
  <c r="G193" i="2"/>
  <c r="O193"/>
  <c r="O194"/>
  <c r="E28"/>
  <c r="I195"/>
  <c r="O195"/>
  <c r="O196"/>
  <c r="E76" i="19"/>
  <c r="F76"/>
  <c r="O197" i="2"/>
  <c r="E77" i="19"/>
  <c r="F77" s="1"/>
  <c r="O198" i="2"/>
  <c r="G4" i="25"/>
  <c r="O199" i="2"/>
  <c r="G5" i="25"/>
  <c r="O200" i="2"/>
  <c r="E52" i="19"/>
  <c r="F52"/>
  <c r="O201" i="2"/>
  <c r="E51" i="19"/>
  <c r="F51" s="1"/>
  <c r="O202" i="2"/>
  <c r="O203"/>
  <c r="O204"/>
  <c r="O205"/>
  <c r="O206"/>
  <c r="O207"/>
  <c r="O208"/>
  <c r="O209"/>
  <c r="O210"/>
  <c r="E211"/>
  <c r="O211"/>
  <c r="O212"/>
  <c r="O213"/>
  <c r="O214"/>
  <c r="O215"/>
  <c r="O216"/>
  <c r="O217"/>
  <c r="O218"/>
  <c r="E219"/>
  <c r="O219"/>
  <c r="E220"/>
  <c r="O220"/>
  <c r="E221"/>
  <c r="O221"/>
  <c r="E222"/>
  <c r="O222"/>
  <c r="E223"/>
  <c r="O223"/>
  <c r="E224"/>
  <c r="O224"/>
  <c r="O225"/>
  <c r="O226"/>
  <c r="E227"/>
  <c r="O227"/>
  <c r="E228"/>
  <c r="O228"/>
  <c r="E229"/>
  <c r="O229"/>
  <c r="O230"/>
  <c r="O231"/>
  <c r="O232"/>
  <c r="O233"/>
  <c r="O234"/>
  <c r="E7" i="6"/>
  <c r="F7"/>
  <c r="O235" i="2"/>
  <c r="E56" i="6"/>
  <c r="F56" s="1"/>
  <c r="O236" i="2"/>
  <c r="E44" i="6"/>
  <c r="F44"/>
  <c r="O237" i="2"/>
  <c r="E68" i="6"/>
  <c r="F68" s="1"/>
  <c r="O238" i="2"/>
  <c r="E80" i="6"/>
  <c r="F80"/>
  <c r="O239" i="2"/>
  <c r="E87" i="10"/>
  <c r="F87" s="1"/>
  <c r="O240" i="2"/>
  <c r="E15" i="12"/>
  <c r="F15"/>
  <c r="O241" i="2"/>
  <c r="E242"/>
  <c r="O242"/>
  <c r="E14" i="12"/>
  <c r="F14" s="1"/>
  <c r="O243" i="2"/>
  <c r="J244"/>
  <c r="O244"/>
  <c r="O245"/>
  <c r="O246"/>
  <c r="E102" i="5"/>
  <c r="F102"/>
  <c r="O247" i="2"/>
  <c r="O248"/>
  <c r="O249"/>
  <c r="O250"/>
  <c r="E251"/>
  <c r="O251"/>
  <c r="O252"/>
  <c r="O253"/>
  <c r="O254"/>
  <c r="E9" i="10"/>
  <c r="F9" s="1"/>
  <c r="O255" i="2"/>
  <c r="O256"/>
  <c r="O257"/>
  <c r="O258"/>
  <c r="O259"/>
  <c r="O260"/>
  <c r="O261"/>
  <c r="E55" i="10"/>
  <c r="F55"/>
  <c r="O262" i="2"/>
  <c r="O263"/>
  <c r="O264"/>
  <c r="O265"/>
  <c r="O266"/>
  <c r="G267"/>
  <c r="O267"/>
  <c r="O268"/>
  <c r="I269"/>
  <c r="O269"/>
  <c r="O270"/>
  <c r="O271"/>
  <c r="O272"/>
  <c r="E273"/>
  <c r="O273"/>
  <c r="E274"/>
  <c r="O274"/>
  <c r="E275"/>
  <c r="O275"/>
  <c r="G3" i="25"/>
  <c r="E276" i="2"/>
  <c r="O276"/>
  <c r="E35" i="20"/>
  <c r="F35"/>
  <c r="O277" i="2"/>
  <c r="E36" i="20"/>
  <c r="F36" s="1"/>
  <c r="O278" i="2"/>
  <c r="E37" i="20"/>
  <c r="F37"/>
  <c r="O279" i="2"/>
  <c r="E38" i="20"/>
  <c r="F38" s="1"/>
  <c r="E280" i="2"/>
  <c r="O280"/>
  <c r="E39" i="20"/>
  <c r="F39" s="1"/>
  <c r="O281" i="2"/>
  <c r="E40" i="20"/>
  <c r="F40"/>
  <c r="O282" i="2"/>
  <c r="O283"/>
  <c r="O284"/>
  <c r="O285"/>
  <c r="E30" i="17"/>
  <c r="F30"/>
  <c r="O286" i="2"/>
  <c r="E6" i="17"/>
  <c r="F6" s="1"/>
  <c r="O287" i="2"/>
  <c r="E6" i="19"/>
  <c r="F6"/>
  <c r="O288" i="2"/>
  <c r="E8" i="17"/>
  <c r="F8" s="1"/>
  <c r="O289" i="2"/>
  <c r="E5" i="12"/>
  <c r="F5"/>
  <c r="J290" i="2"/>
  <c r="K290"/>
  <c r="O290"/>
  <c r="J291"/>
  <c r="K291"/>
  <c r="O291"/>
  <c r="O292"/>
  <c r="E72" i="17"/>
  <c r="F72" s="1"/>
  <c r="O293" i="2"/>
  <c r="O294"/>
  <c r="O295"/>
  <c r="E44" i="11"/>
  <c r="F44"/>
  <c r="O296" i="2"/>
  <c r="O297"/>
  <c r="E32" i="19"/>
  <c r="F32"/>
  <c r="O298" i="2"/>
  <c r="E31" i="19"/>
  <c r="F31" s="1"/>
  <c r="O299" i="2"/>
  <c r="E8" i="20"/>
  <c r="F8"/>
  <c r="O300" i="2"/>
  <c r="O301"/>
  <c r="O302"/>
  <c r="O303"/>
  <c r="O304"/>
  <c r="O305"/>
  <c r="O306"/>
  <c r="E9" i="20"/>
  <c r="F9" s="1"/>
  <c r="O307" i="2"/>
  <c r="O308"/>
  <c r="O309"/>
  <c r="E5" i="23"/>
  <c r="F5"/>
  <c r="O310" i="2"/>
  <c r="E26" i="23"/>
  <c r="F26" s="1"/>
  <c r="O311" i="2"/>
  <c r="O312"/>
  <c r="E43" i="23"/>
  <c r="F43" s="1"/>
  <c r="O313" i="2"/>
  <c r="E45" i="23"/>
  <c r="F45"/>
  <c r="O314" i="2"/>
  <c r="E6" i="23"/>
  <c r="F6" s="1"/>
  <c r="O315" i="2"/>
  <c r="E7" i="23"/>
  <c r="F7"/>
  <c r="O316" i="2"/>
  <c r="E49" i="23"/>
  <c r="F49" s="1"/>
  <c r="O317" i="2"/>
  <c r="E30" i="23"/>
  <c r="F30"/>
  <c r="O318" i="2"/>
  <c r="E47" i="23"/>
  <c r="F47" s="1"/>
  <c r="O319" i="2"/>
  <c r="E62" i="23"/>
  <c r="F62"/>
  <c r="O320" i="2"/>
  <c r="E51" i="23"/>
  <c r="F51" s="1"/>
  <c r="O321" i="2"/>
  <c r="E8" i="23"/>
  <c r="F8"/>
  <c r="O322" i="2"/>
  <c r="E60" i="23"/>
  <c r="F60" s="1"/>
  <c r="O323" i="2"/>
  <c r="E28" i="23"/>
  <c r="F28"/>
  <c r="O324" i="2"/>
  <c r="E31" i="23"/>
  <c r="F31" s="1"/>
  <c r="O325" i="2"/>
  <c r="E48" i="23"/>
  <c r="F48"/>
  <c r="O326" i="2"/>
  <c r="O327"/>
  <c r="E50" i="23"/>
  <c r="F50"/>
  <c r="O328" i="2"/>
  <c r="E61" i="23"/>
  <c r="F61" s="1"/>
  <c r="O329" i="2"/>
  <c r="O330"/>
  <c r="E46" i="23"/>
  <c r="F46" s="1"/>
  <c r="O331" i="2"/>
  <c r="E10" i="23"/>
  <c r="F10"/>
  <c r="O332" i="2"/>
  <c r="E6" i="22"/>
  <c r="F6" s="1"/>
  <c r="O333" i="2"/>
  <c r="O334"/>
  <c r="O335"/>
  <c r="E5" i="22"/>
  <c r="F5"/>
  <c r="O336" i="2"/>
  <c r="O337"/>
  <c r="O338"/>
  <c r="O339"/>
  <c r="E7" i="22"/>
  <c r="F7"/>
  <c r="O340" i="2"/>
  <c r="O341"/>
  <c r="E18" i="24"/>
  <c r="F18"/>
  <c r="O342" i="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K366"/>
  <c r="O366"/>
  <c r="K367"/>
  <c r="O367"/>
  <c r="K368"/>
  <c r="O368"/>
  <c r="K369"/>
  <c r="O369"/>
  <c r="K370"/>
  <c r="O370"/>
  <c r="O372"/>
  <c r="K373"/>
  <c r="O373"/>
  <c r="O374"/>
  <c r="O375"/>
  <c r="O376"/>
  <c r="O377"/>
  <c r="O378"/>
  <c r="O379"/>
  <c r="O380"/>
  <c r="O381"/>
  <c r="O382"/>
  <c r="O383"/>
  <c r="E7" i="21"/>
  <c r="F7" s="1"/>
  <c r="O384" i="2"/>
  <c r="O385"/>
  <c r="O386"/>
  <c r="O387"/>
  <c r="O388"/>
  <c r="O389"/>
  <c r="O390"/>
  <c r="E49" i="14"/>
  <c r="F49"/>
  <c r="O391" i="2"/>
  <c r="O392"/>
  <c r="O393"/>
  <c r="O394"/>
  <c r="O395"/>
  <c r="O396"/>
  <c r="O397"/>
  <c r="O398"/>
  <c r="O399"/>
  <c r="E42" i="19"/>
  <c r="F42" s="1"/>
  <c r="O400" i="2"/>
  <c r="E105" i="19"/>
  <c r="F105"/>
  <c r="O401" i="2"/>
  <c r="O402"/>
  <c r="E48" i="14"/>
  <c r="F48"/>
  <c r="O403" i="2"/>
  <c r="O404"/>
  <c r="O405"/>
  <c r="O406"/>
  <c r="O407"/>
  <c r="O408"/>
  <c r="E409"/>
  <c r="O409"/>
  <c r="E410"/>
  <c r="O410"/>
  <c r="O411"/>
  <c r="O412"/>
  <c r="O413"/>
  <c r="O414"/>
  <c r="E415"/>
  <c r="O415"/>
  <c r="O416"/>
  <c r="O417"/>
  <c r="O418"/>
  <c r="O419"/>
  <c r="O420"/>
  <c r="O421"/>
  <c r="O422"/>
  <c r="O423"/>
  <c r="O424"/>
  <c r="O425"/>
  <c r="E426"/>
  <c r="O426"/>
  <c r="E427"/>
  <c r="O427"/>
  <c r="O428"/>
  <c r="O429"/>
  <c r="O430"/>
  <c r="E66" i="9"/>
  <c r="F66" s="1"/>
  <c r="O431" i="2"/>
  <c r="E42" i="9"/>
  <c r="F42"/>
  <c r="O432" i="2"/>
  <c r="E30" i="9"/>
  <c r="F30" s="1"/>
  <c r="O433" i="2"/>
  <c r="E73" i="10"/>
  <c r="F73"/>
  <c r="O434" i="2"/>
  <c r="E53" i="9"/>
  <c r="F53" s="1"/>
  <c r="O435" i="2"/>
  <c r="O436"/>
  <c r="E8" i="10"/>
  <c r="F8" s="1"/>
  <c r="O437" i="2"/>
  <c r="O438"/>
  <c r="O439"/>
  <c r="E5" i="18"/>
  <c r="F5"/>
  <c r="O440" i="2"/>
  <c r="E99" i="10"/>
  <c r="F99" s="1"/>
  <c r="O441" i="2"/>
  <c r="L442"/>
  <c r="C18" i="26"/>
  <c r="J18" s="1"/>
  <c r="E33" i="16"/>
  <c r="F33"/>
  <c r="E20"/>
  <c r="F20"/>
  <c r="O442" i="2"/>
  <c r="F3" i="1"/>
  <c r="K18" i="26"/>
  <c r="J16"/>
  <c r="K16"/>
  <c r="L16"/>
  <c r="J15"/>
  <c r="K15"/>
  <c r="L15"/>
  <c r="J14"/>
  <c r="K14"/>
  <c r="L14"/>
  <c r="J17"/>
  <c r="K17"/>
  <c r="L17"/>
  <c r="J13"/>
  <c r="K13"/>
  <c r="L13"/>
  <c r="J12"/>
  <c r="K12"/>
  <c r="L12"/>
  <c r="J11"/>
  <c r="K11"/>
  <c r="L11"/>
  <c r="J10"/>
  <c r="K10"/>
  <c r="L10"/>
  <c r="J9"/>
  <c r="K9"/>
  <c r="L9"/>
  <c r="J8"/>
  <c r="K8"/>
  <c r="L8"/>
  <c r="J7"/>
  <c r="K7"/>
  <c r="L7"/>
  <c r="E7" i="16"/>
  <c r="F7"/>
  <c r="E21"/>
  <c r="F21"/>
  <c r="E36"/>
  <c r="F36"/>
  <c r="E8"/>
  <c r="F8"/>
  <c r="E22"/>
  <c r="F22"/>
  <c r="E37"/>
  <c r="F37"/>
  <c r="E5"/>
  <c r="F5"/>
  <c r="E18"/>
  <c r="F18"/>
  <c r="E35"/>
  <c r="F35"/>
  <c r="E6"/>
  <c r="F6"/>
  <c r="E19"/>
  <c r="F19"/>
  <c r="E34"/>
  <c r="F34"/>
  <c r="E9"/>
  <c r="F9"/>
  <c r="E23"/>
  <c r="F23"/>
  <c r="E38"/>
  <c r="F38" s="1"/>
  <c r="E81" i="14"/>
  <c r="F81" s="1"/>
  <c r="E93"/>
  <c r="F93" s="1"/>
  <c r="E126"/>
  <c r="F126" s="1"/>
  <c r="E19"/>
  <c r="F19" s="1"/>
  <c r="E32"/>
  <c r="F32" s="1"/>
  <c r="E18"/>
  <c r="F18" s="1"/>
  <c r="E31"/>
  <c r="F31" s="1"/>
  <c r="E45"/>
  <c r="F45" s="1"/>
  <c r="E59"/>
  <c r="F59" s="1"/>
  <c r="E69"/>
  <c r="F69" s="1"/>
  <c r="E5"/>
  <c r="F5" s="1"/>
  <c r="E36"/>
  <c r="F36" s="1"/>
  <c r="E7"/>
  <c r="F7" s="1"/>
  <c r="E35"/>
  <c r="F35" s="1"/>
  <c r="E6"/>
  <c r="F6" s="1"/>
  <c r="E34"/>
  <c r="F34" s="1"/>
  <c r="E20"/>
  <c r="F20" s="1"/>
  <c r="E33"/>
  <c r="F33" s="1"/>
  <c r="E50"/>
  <c r="F50" s="1"/>
  <c r="E16"/>
  <c r="F16" s="1"/>
  <c r="E29"/>
  <c r="F29" s="1"/>
  <c r="E46"/>
  <c r="F46" s="1"/>
  <c r="E6" i="21"/>
  <c r="F6" s="1"/>
  <c r="E79" i="14"/>
  <c r="F79" s="1"/>
  <c r="E91"/>
  <c r="F91" s="1"/>
  <c r="E103"/>
  <c r="F103" s="1"/>
  <c r="E112"/>
  <c r="F112" s="1"/>
  <c r="E124"/>
  <c r="F124" s="1"/>
  <c r="E80"/>
  <c r="F80" s="1"/>
  <c r="E92"/>
  <c r="F92" s="1"/>
  <c r="E125"/>
  <c r="F125" s="1"/>
  <c r="E17"/>
  <c r="F17" s="1"/>
  <c r="E30"/>
  <c r="F30" s="1"/>
  <c r="E47"/>
  <c r="F47" s="1"/>
  <c r="E60"/>
  <c r="F60" s="1"/>
  <c r="E70"/>
  <c r="F70" s="1"/>
  <c r="E41" i="19"/>
  <c r="F41" s="1"/>
  <c r="E104"/>
  <c r="F104" s="1"/>
  <c r="E29" i="23"/>
  <c r="F29" s="1"/>
  <c r="E44"/>
  <c r="F44" s="1"/>
  <c r="E14"/>
  <c r="F14" s="1"/>
  <c r="E27"/>
  <c r="F27" s="1"/>
  <c r="E5" i="21"/>
  <c r="F5" s="1"/>
  <c r="E20"/>
  <c r="F20" s="1"/>
  <c r="E8"/>
  <c r="F8" s="1"/>
  <c r="E21"/>
  <c r="F21" s="1"/>
  <c r="E7" i="20"/>
  <c r="F7" s="1"/>
  <c r="E23"/>
  <c r="F23" s="1"/>
  <c r="E6"/>
  <c r="F6" s="1"/>
  <c r="E22"/>
  <c r="F22" s="1"/>
  <c r="E5"/>
  <c r="F5" s="1"/>
  <c r="E21"/>
  <c r="F21" s="1"/>
  <c r="E7" i="17"/>
  <c r="F7" s="1"/>
  <c r="E18"/>
  <c r="F18" s="1"/>
  <c r="E29"/>
  <c r="F29" s="1"/>
  <c r="E42"/>
  <c r="F42" s="1"/>
  <c r="E52"/>
  <c r="F52" s="1"/>
  <c r="E40"/>
  <c r="F40" s="1"/>
  <c r="E63"/>
  <c r="F63" s="1"/>
  <c r="E41"/>
  <c r="F41" s="1"/>
  <c r="E62"/>
  <c r="F62" s="1"/>
  <c r="E51"/>
  <c r="F51" s="1"/>
  <c r="E61"/>
  <c r="F61" s="1"/>
  <c r="E73"/>
  <c r="F73" s="1"/>
  <c r="G8" i="25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E16" i="23"/>
  <c r="F16" s="1"/>
  <c r="E33"/>
  <c r="F33" s="1"/>
  <c r="E53"/>
  <c r="F53" s="1"/>
  <c r="E64"/>
  <c r="F64" s="1"/>
  <c r="E9" i="22"/>
  <c r="F9" s="1"/>
  <c r="E13" i="21"/>
  <c r="F13" s="1"/>
  <c r="E26"/>
  <c r="F26" s="1"/>
  <c r="E14" i="20"/>
  <c r="F14" s="1"/>
  <c r="E28"/>
  <c r="F28" s="1"/>
  <c r="E42"/>
  <c r="F42" s="1"/>
  <c r="E11" i="16"/>
  <c r="F11" s="1"/>
  <c r="E25"/>
  <c r="F25" s="1"/>
  <c r="E40"/>
  <c r="F40" s="1"/>
  <c r="E11" i="15"/>
  <c r="F11" s="1"/>
  <c r="E26"/>
  <c r="F26" s="1"/>
  <c r="E40"/>
  <c r="F40" s="1"/>
  <c r="E51"/>
  <c r="F51" s="1"/>
  <c r="E70"/>
  <c r="F70" s="1"/>
  <c r="E9" i="14"/>
  <c r="F9" s="1"/>
  <c r="E22"/>
  <c r="F22" s="1"/>
  <c r="E38"/>
  <c r="F38" s="1"/>
  <c r="E52"/>
  <c r="F52" s="1"/>
  <c r="E62"/>
  <c r="F62" s="1"/>
  <c r="E72"/>
  <c r="F72" s="1"/>
  <c r="E84"/>
  <c r="F84" s="1"/>
  <c r="E96"/>
  <c r="F96" s="1"/>
  <c r="E105"/>
  <c r="F105" s="1"/>
  <c r="E117"/>
  <c r="F117" s="1"/>
  <c r="E129"/>
  <c r="F129" s="1"/>
  <c r="E10" i="24"/>
  <c r="F10" s="1"/>
  <c r="E22"/>
  <c r="F22" s="1"/>
  <c r="E40"/>
  <c r="F40" s="1"/>
  <c r="E54"/>
  <c r="F54" s="1"/>
  <c r="E9" i="19"/>
  <c r="F9" s="1"/>
  <c r="E18"/>
  <c r="F18" s="1"/>
  <c r="F11" s="1"/>
  <c r="E34"/>
  <c r="F34" s="1"/>
  <c r="E44"/>
  <c r="F44" s="1"/>
  <c r="E54"/>
  <c r="F54" s="1"/>
  <c r="E63"/>
  <c r="F63" s="1"/>
  <c r="E69"/>
  <c r="F69" s="1"/>
  <c r="E79"/>
  <c r="F79" s="1"/>
  <c r="E88"/>
  <c r="F88" s="1"/>
  <c r="E97"/>
  <c r="F97" s="1"/>
  <c r="E107"/>
  <c r="F107" s="1"/>
  <c r="E7" i="18"/>
  <c r="F7" s="1"/>
  <c r="F2" s="1"/>
  <c r="E10" i="17"/>
  <c r="F10"/>
  <c r="E21"/>
  <c r="F21"/>
  <c r="E32"/>
  <c r="F32"/>
  <c r="E44"/>
  <c r="F44"/>
  <c r="E54"/>
  <c r="F54"/>
  <c r="E65"/>
  <c r="F65"/>
  <c r="E76"/>
  <c r="F76"/>
  <c r="E10" i="13"/>
  <c r="F10"/>
  <c r="E20"/>
  <c r="F20"/>
  <c r="E31"/>
  <c r="F31"/>
  <c r="E43"/>
  <c r="F43"/>
  <c r="E52"/>
  <c r="F52"/>
  <c r="E62"/>
  <c r="F62"/>
  <c r="E7" i="12"/>
  <c r="F7"/>
  <c r="E18"/>
  <c r="F18"/>
  <c r="E12" i="11"/>
  <c r="F12"/>
  <c r="E27"/>
  <c r="F27"/>
  <c r="E36"/>
  <c r="F36"/>
  <c r="E46"/>
  <c r="F46"/>
  <c r="E57"/>
  <c r="F57"/>
  <c r="E66"/>
  <c r="F66"/>
  <c r="E76"/>
  <c r="F76"/>
  <c r="E10"/>
  <c r="F10"/>
  <c r="E25"/>
  <c r="F25"/>
  <c r="E7" i="19"/>
  <c r="F7"/>
  <c r="E7" i="11"/>
  <c r="F7"/>
  <c r="E21"/>
  <c r="F21"/>
  <c r="E34"/>
  <c r="F34"/>
  <c r="E7" i="10"/>
  <c r="F7"/>
  <c r="E24" i="11"/>
  <c r="F24"/>
  <c r="E64"/>
  <c r="F64"/>
  <c r="E6" i="24"/>
  <c r="F6"/>
  <c r="E34"/>
  <c r="F34"/>
  <c r="E13" i="23"/>
  <c r="F13"/>
  <c r="E25"/>
  <c r="F25"/>
  <c r="E42"/>
  <c r="F42"/>
  <c r="E9" i="21"/>
  <c r="F9"/>
  <c r="E22"/>
  <c r="F22"/>
  <c r="E10" i="20"/>
  <c r="F10"/>
  <c r="E24"/>
  <c r="F24"/>
  <c r="E14" i="19"/>
  <c r="F14"/>
  <c r="E23"/>
  <c r="F23"/>
  <c r="E84"/>
  <c r="F84"/>
  <c r="E82" i="14"/>
  <c r="F82"/>
  <c r="E94"/>
  <c r="F94"/>
  <c r="E113"/>
  <c r="F113"/>
  <c r="E127"/>
  <c r="F127"/>
  <c r="E5" i="11"/>
  <c r="F5"/>
  <c r="E19"/>
  <c r="F19"/>
  <c r="E53"/>
  <c r="F53"/>
  <c r="E19" i="17"/>
  <c r="F19"/>
  <c r="E6" i="11"/>
  <c r="F6"/>
  <c r="E20"/>
  <c r="F20"/>
  <c r="E54"/>
  <c r="F54"/>
  <c r="E6" i="15"/>
  <c r="F6"/>
  <c r="E19"/>
  <c r="F19"/>
  <c r="E34"/>
  <c r="F34"/>
  <c r="E60"/>
  <c r="F60"/>
  <c r="E8"/>
  <c r="F8"/>
  <c r="E23"/>
  <c r="F23"/>
  <c r="E36"/>
  <c r="F36"/>
  <c r="E64"/>
  <c r="F64"/>
  <c r="E21"/>
  <c r="F21"/>
  <c r="E62"/>
  <c r="F62"/>
  <c r="E47"/>
  <c r="F47"/>
  <c r="E66"/>
  <c r="F66"/>
  <c r="E48"/>
  <c r="F48"/>
  <c r="E67"/>
  <c r="F67"/>
  <c r="E49"/>
  <c r="F49"/>
  <c r="E68"/>
  <c r="F68"/>
  <c r="E9"/>
  <c r="F9"/>
  <c r="E22"/>
  <c r="F22"/>
  <c r="E38"/>
  <c r="F38"/>
  <c r="E63"/>
  <c r="F63"/>
  <c r="E18"/>
  <c r="F18"/>
  <c r="E37"/>
  <c r="F37"/>
  <c r="E59"/>
  <c r="F59"/>
  <c r="E5"/>
  <c r="F5"/>
  <c r="E24"/>
  <c r="F24"/>
  <c r="E33"/>
  <c r="F33"/>
  <c r="E65"/>
  <c r="F65"/>
  <c r="H17" i="25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8"/>
  <c r="H9"/>
  <c r="H10"/>
  <c r="H11"/>
  <c r="H12"/>
  <c r="H13"/>
  <c r="H14"/>
  <c r="H15"/>
  <c r="H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8"/>
  <c r="J9"/>
  <c r="J10"/>
  <c r="J11"/>
  <c r="J12"/>
  <c r="J13"/>
  <c r="J14"/>
  <c r="J15"/>
  <c r="J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8"/>
  <c r="F8"/>
  <c r="E9"/>
  <c r="F9"/>
  <c r="E10"/>
  <c r="F10"/>
  <c r="E11"/>
  <c r="F11"/>
  <c r="E12"/>
  <c r="F12"/>
  <c r="E13"/>
  <c r="F13"/>
  <c r="E14"/>
  <c r="F14"/>
  <c r="E15"/>
  <c r="F15"/>
  <c r="E16"/>
  <c r="F16"/>
  <c r="J178" i="2"/>
  <c r="G176"/>
  <c r="G174"/>
  <c r="G169"/>
  <c r="I167"/>
  <c r="G155"/>
  <c r="E151"/>
  <c r="E149"/>
  <c r="E147"/>
  <c r="E145"/>
  <c r="E143"/>
  <c r="E141"/>
  <c r="E139"/>
  <c r="E137"/>
  <c r="E135"/>
  <c r="E133"/>
  <c r="E131"/>
  <c r="E28" i="24"/>
  <c r="F28" s="1"/>
  <c r="E46"/>
  <c r="F46" s="1"/>
  <c r="E27"/>
  <c r="F27" s="1"/>
  <c r="E45"/>
  <c r="F45" s="1"/>
  <c r="E24"/>
  <c r="F24" s="1"/>
  <c r="E42"/>
  <c r="F42" s="1"/>
  <c r="E56"/>
  <c r="F56" s="1"/>
  <c r="K8" i="25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E43" i="11"/>
  <c r="F43" s="1"/>
  <c r="E73"/>
  <c r="F73" s="1"/>
  <c r="E7" i="13"/>
  <c r="F7"/>
  <c r="E18"/>
  <c r="F18"/>
  <c r="E50"/>
  <c r="F50"/>
  <c r="E6"/>
  <c r="F6"/>
  <c r="E29"/>
  <c r="F29"/>
  <c r="E40"/>
  <c r="F40"/>
  <c r="E60"/>
  <c r="F60"/>
  <c r="E8"/>
  <c r="F8"/>
  <c r="E27"/>
  <c r="F27"/>
  <c r="E38"/>
  <c r="F38"/>
  <c r="E59"/>
  <c r="F59"/>
  <c r="E5"/>
  <c r="F5"/>
  <c r="E28"/>
  <c r="F28"/>
  <c r="E39"/>
  <c r="F39"/>
  <c r="E19" i="24"/>
  <c r="F19"/>
  <c r="E11" i="23"/>
  <c r="F11"/>
  <c r="E23"/>
  <c r="F23"/>
  <c r="E40"/>
  <c r="F40"/>
  <c r="E11" i="20"/>
  <c r="F11"/>
  <c r="E25"/>
  <c r="F25"/>
  <c r="E52" i="24"/>
  <c r="F52"/>
  <c r="E10" i="21"/>
  <c r="F10"/>
  <c r="E23"/>
  <c r="F23"/>
  <c r="E16" i="19"/>
  <c r="F16"/>
  <c r="E114" i="14"/>
  <c r="F114"/>
  <c r="E7" i="24"/>
  <c r="F7"/>
  <c r="E35"/>
  <c r="F35"/>
  <c r="E12" i="23"/>
  <c r="F12"/>
  <c r="E24"/>
  <c r="F24"/>
  <c r="E41"/>
  <c r="F41"/>
  <c r="E24" i="19"/>
  <c r="F24"/>
  <c r="E86"/>
  <c r="F86"/>
  <c r="E8" i="24"/>
  <c r="F8"/>
  <c r="E36"/>
  <c r="F36"/>
  <c r="E25" i="19"/>
  <c r="F25"/>
  <c r="E85"/>
  <c r="F85"/>
  <c r="E9" i="11"/>
  <c r="F9"/>
  <c r="E23"/>
  <c r="F23"/>
  <c r="E55"/>
  <c r="F55"/>
  <c r="E8"/>
  <c r="F8"/>
  <c r="E22"/>
  <c r="F22"/>
  <c r="E5" i="24"/>
  <c r="F5"/>
  <c r="E37"/>
  <c r="F37"/>
  <c r="E11" i="21"/>
  <c r="F11"/>
  <c r="E24"/>
  <c r="F24"/>
  <c r="E12" i="20"/>
  <c r="F12"/>
  <c r="E26"/>
  <c r="F26"/>
  <c r="E15" i="19"/>
  <c r="F15"/>
  <c r="E5"/>
  <c r="F5"/>
  <c r="F2" s="1"/>
  <c r="E28"/>
  <c r="F28" s="1"/>
  <c r="F18" i="26"/>
  <c r="M18" s="1"/>
  <c r="N18" s="1"/>
  <c r="F17"/>
  <c r="M17"/>
  <c r="N17" s="1"/>
  <c r="F16"/>
  <c r="M16" s="1"/>
  <c r="F15"/>
  <c r="M15"/>
  <c r="N15" s="1"/>
  <c r="F14"/>
  <c r="M14" s="1"/>
  <c r="F13"/>
  <c r="M13"/>
  <c r="N13" s="1"/>
  <c r="F12"/>
  <c r="M12" s="1"/>
  <c r="F11"/>
  <c r="M11"/>
  <c r="N11" s="1"/>
  <c r="F10"/>
  <c r="M10" s="1"/>
  <c r="F9"/>
  <c r="M9"/>
  <c r="N9" s="1"/>
  <c r="F8"/>
  <c r="M8" s="1"/>
  <c r="F7"/>
  <c r="M7"/>
  <c r="N7" s="1"/>
  <c r="E62" i="3"/>
  <c r="F62" s="1"/>
  <c r="E59"/>
  <c r="F59" s="1"/>
  <c r="E51"/>
  <c r="F51" s="1"/>
  <c r="E43"/>
  <c r="F43" s="1"/>
  <c r="E37"/>
  <c r="F37" s="1"/>
  <c r="E35"/>
  <c r="F35" s="1"/>
  <c r="F31" s="1"/>
  <c r="E27"/>
  <c r="F27"/>
  <c r="E20"/>
  <c r="F20"/>
  <c r="F16" s="1"/>
  <c r="E13"/>
  <c r="F13" s="1"/>
  <c r="F9" s="1"/>
  <c r="E6"/>
  <c r="F6"/>
  <c r="F2" s="1"/>
  <c r="E45" i="4"/>
  <c r="F45" s="1"/>
  <c r="E43"/>
  <c r="F43" s="1"/>
  <c r="E42"/>
  <c r="F42" s="1"/>
  <c r="E41"/>
  <c r="F41" s="1"/>
  <c r="E40"/>
  <c r="F40" s="1"/>
  <c r="E33"/>
  <c r="F33" s="1"/>
  <c r="E31"/>
  <c r="F31" s="1"/>
  <c r="E30"/>
  <c r="F30" s="1"/>
  <c r="E29"/>
  <c r="F29" s="1"/>
  <c r="E28"/>
  <c r="F28" s="1"/>
  <c r="E21"/>
  <c r="F21" s="1"/>
  <c r="E19"/>
  <c r="F19" s="1"/>
  <c r="E18"/>
  <c r="F18" s="1"/>
  <c r="E17"/>
  <c r="F17" s="1"/>
  <c r="E16"/>
  <c r="F16" s="1"/>
  <c r="E9"/>
  <c r="F9" s="1"/>
  <c r="E7"/>
  <c r="F7" s="1"/>
  <c r="E6"/>
  <c r="F6" s="1"/>
  <c r="E5"/>
  <c r="F5" s="1"/>
  <c r="E132" i="5"/>
  <c r="F132" s="1"/>
  <c r="E130"/>
  <c r="F130" s="1"/>
  <c r="E129"/>
  <c r="F129" s="1"/>
  <c r="E128"/>
  <c r="F128" s="1"/>
  <c r="E127"/>
  <c r="F127" s="1"/>
  <c r="E126"/>
  <c r="F126" s="1"/>
  <c r="E119"/>
  <c r="F119" s="1"/>
  <c r="E117"/>
  <c r="F117" s="1"/>
  <c r="E116"/>
  <c r="F116" s="1"/>
  <c r="E115"/>
  <c r="F115" s="1"/>
  <c r="E114"/>
  <c r="F114" s="1"/>
  <c r="E113"/>
  <c r="F113" s="1"/>
  <c r="E106"/>
  <c r="F106" s="1"/>
  <c r="E104"/>
  <c r="F104" s="1"/>
  <c r="E103"/>
  <c r="F103" s="1"/>
  <c r="E101"/>
  <c r="F101" s="1"/>
  <c r="E100"/>
  <c r="F100" s="1"/>
  <c r="E93"/>
  <c r="F93" s="1"/>
  <c r="E91"/>
  <c r="F91" s="1"/>
  <c r="E90"/>
  <c r="F90" s="1"/>
  <c r="E89"/>
  <c r="F89" s="1"/>
  <c r="E88"/>
  <c r="F88" s="1"/>
  <c r="E87"/>
  <c r="F87" s="1"/>
  <c r="E86"/>
  <c r="F86" s="1"/>
  <c r="E79"/>
  <c r="F79" s="1"/>
  <c r="E77"/>
  <c r="F77" s="1"/>
  <c r="E76"/>
  <c r="F76" s="1"/>
  <c r="E75"/>
  <c r="F75" s="1"/>
  <c r="E74"/>
  <c r="F74" s="1"/>
  <c r="E73"/>
  <c r="F73" s="1"/>
  <c r="E72"/>
  <c r="F72" s="1"/>
  <c r="E71"/>
  <c r="F71" s="1"/>
  <c r="F68" s="1"/>
  <c r="E64"/>
  <c r="F64"/>
  <c r="E62"/>
  <c r="F62"/>
  <c r="E61"/>
  <c r="F61"/>
  <c r="E60"/>
  <c r="F60"/>
  <c r="E59"/>
  <c r="F59"/>
  <c r="E58"/>
  <c r="F58"/>
  <c r="E51"/>
  <c r="F51"/>
  <c r="E49"/>
  <c r="F49"/>
  <c r="E48"/>
  <c r="F48"/>
  <c r="E47"/>
  <c r="F47"/>
  <c r="E46"/>
  <c r="F46"/>
  <c r="E45"/>
  <c r="F45"/>
  <c r="E38"/>
  <c r="F38"/>
  <c r="E36"/>
  <c r="F36"/>
  <c r="E35"/>
  <c r="F35"/>
  <c r="E34"/>
  <c r="F34"/>
  <c r="E33"/>
  <c r="F33"/>
  <c r="E32"/>
  <c r="F32"/>
  <c r="E25"/>
  <c r="F25"/>
  <c r="E23"/>
  <c r="F23"/>
  <c r="E22"/>
  <c r="F22"/>
  <c r="E21"/>
  <c r="F21"/>
  <c r="E20"/>
  <c r="F20"/>
  <c r="E19"/>
  <c r="F19"/>
  <c r="E11"/>
  <c r="F11"/>
  <c r="E9"/>
  <c r="F9"/>
  <c r="E8"/>
  <c r="F8"/>
  <c r="E7"/>
  <c r="F7"/>
  <c r="E6"/>
  <c r="F6"/>
  <c r="E5"/>
  <c r="F5"/>
  <c r="E123" i="6"/>
  <c r="F123"/>
  <c r="E121"/>
  <c r="F121"/>
  <c r="E120"/>
  <c r="F120"/>
  <c r="E119"/>
  <c r="F119"/>
  <c r="E118"/>
  <c r="F118"/>
  <c r="E117"/>
  <c r="F117"/>
  <c r="E116"/>
  <c r="F116"/>
  <c r="E115"/>
  <c r="F115"/>
  <c r="E108"/>
  <c r="F108"/>
  <c r="E106"/>
  <c r="F106"/>
  <c r="E105"/>
  <c r="F105"/>
  <c r="E104"/>
  <c r="F104"/>
  <c r="E103"/>
  <c r="F103"/>
  <c r="E102"/>
  <c r="F102"/>
  <c r="E95"/>
  <c r="F95"/>
  <c r="E93"/>
  <c r="F93"/>
  <c r="E91"/>
  <c r="F91"/>
  <c r="E90"/>
  <c r="F90"/>
  <c r="E83"/>
  <c r="F83"/>
  <c r="E81"/>
  <c r="F81"/>
  <c r="E79"/>
  <c r="F79"/>
  <c r="E78"/>
  <c r="F78"/>
  <c r="E71"/>
  <c r="F71"/>
  <c r="E69"/>
  <c r="F69"/>
  <c r="E67"/>
  <c r="F67"/>
  <c r="E66"/>
  <c r="F66"/>
  <c r="E59"/>
  <c r="F59"/>
  <c r="E57"/>
  <c r="F57"/>
  <c r="E55"/>
  <c r="F55"/>
  <c r="E54"/>
  <c r="F54"/>
  <c r="E47"/>
  <c r="F47"/>
  <c r="E45"/>
  <c r="F45"/>
  <c r="E43"/>
  <c r="F43"/>
  <c r="E42"/>
  <c r="F42"/>
  <c r="E41"/>
  <c r="F41"/>
  <c r="E34"/>
  <c r="F34"/>
  <c r="E32"/>
  <c r="F32"/>
  <c r="E31"/>
  <c r="F31"/>
  <c r="E30"/>
  <c r="F30"/>
  <c r="E29"/>
  <c r="F29"/>
  <c r="E22"/>
  <c r="F22"/>
  <c r="E20"/>
  <c r="F20"/>
  <c r="E19"/>
  <c r="F19"/>
  <c r="E18"/>
  <c r="F18"/>
  <c r="E17"/>
  <c r="F17"/>
  <c r="E10"/>
  <c r="F10"/>
  <c r="E8"/>
  <c r="F8"/>
  <c r="E6"/>
  <c r="F6"/>
  <c r="E5"/>
  <c r="F5"/>
  <c r="E11" i="7"/>
  <c r="F11"/>
  <c r="E9"/>
  <c r="F9"/>
  <c r="E8"/>
  <c r="F8"/>
  <c r="E7"/>
  <c r="F7"/>
  <c r="E5"/>
  <c r="F5"/>
  <c r="E46" i="8"/>
  <c r="F46"/>
  <c r="E44"/>
  <c r="F44"/>
  <c r="E43"/>
  <c r="F43"/>
  <c r="E42"/>
  <c r="F42"/>
  <c r="E41"/>
  <c r="F41"/>
  <c r="E34"/>
  <c r="F34" s="1"/>
  <c r="E32"/>
  <c r="F32" s="1"/>
  <c r="E31"/>
  <c r="F31" s="1"/>
  <c r="E30"/>
  <c r="F30" s="1"/>
  <c r="E29"/>
  <c r="F29" s="1"/>
  <c r="E22"/>
  <c r="F22" s="1"/>
  <c r="E20"/>
  <c r="F20" s="1"/>
  <c r="E19"/>
  <c r="F19" s="1"/>
  <c r="E18"/>
  <c r="F18" s="1"/>
  <c r="E10"/>
  <c r="F10" s="1"/>
  <c r="E8"/>
  <c r="F8" s="1"/>
  <c r="E6"/>
  <c r="F6" s="1"/>
  <c r="E5"/>
  <c r="F5" s="1"/>
  <c r="E101" i="9"/>
  <c r="F101" s="1"/>
  <c r="E98"/>
  <c r="F98" s="1"/>
  <c r="E97"/>
  <c r="F97" s="1"/>
  <c r="E89"/>
  <c r="F89" s="1"/>
  <c r="E87"/>
  <c r="F87" s="1"/>
  <c r="E86"/>
  <c r="F86" s="1"/>
  <c r="E78"/>
  <c r="F78" s="1"/>
  <c r="E76"/>
  <c r="F76" s="1"/>
  <c r="E75"/>
  <c r="F75" s="1"/>
  <c r="E68"/>
  <c r="F68" s="1"/>
  <c r="E65"/>
  <c r="F65" s="1"/>
  <c r="E64"/>
  <c r="F64" s="1"/>
  <c r="E63"/>
  <c r="F63" s="1"/>
  <c r="E62"/>
  <c r="F62" s="1"/>
  <c r="E55"/>
  <c r="F55" s="1"/>
  <c r="E52"/>
  <c r="F52" s="1"/>
  <c r="E51"/>
  <c r="F51" s="1"/>
  <c r="E44"/>
  <c r="F44" s="1"/>
  <c r="E41"/>
  <c r="F41" s="1"/>
  <c r="E40"/>
  <c r="F40" s="1"/>
  <c r="E39"/>
  <c r="F39" s="1"/>
  <c r="E32"/>
  <c r="F32" s="1"/>
  <c r="E29"/>
  <c r="F29" s="1"/>
  <c r="E28"/>
  <c r="F28" s="1"/>
  <c r="E27"/>
  <c r="F27" s="1"/>
  <c r="E20"/>
  <c r="F20" s="1"/>
  <c r="E18"/>
  <c r="F18" s="1"/>
  <c r="E17"/>
  <c r="F17" s="1"/>
  <c r="E16"/>
  <c r="F16" s="1"/>
  <c r="E9"/>
  <c r="F9" s="1"/>
  <c r="E7"/>
  <c r="F7" s="1"/>
  <c r="E6"/>
  <c r="F6" s="1"/>
  <c r="E5"/>
  <c r="F5" s="1"/>
  <c r="E101" i="10"/>
  <c r="F101" s="1"/>
  <c r="E98"/>
  <c r="F98" s="1"/>
  <c r="E91"/>
  <c r="F91" s="1"/>
  <c r="E86"/>
  <c r="F86" s="1"/>
  <c r="E85"/>
  <c r="F85" s="1"/>
  <c r="E84"/>
  <c r="F84" s="1"/>
  <c r="E83"/>
  <c r="F83" s="1"/>
  <c r="E75"/>
  <c r="F75" s="1"/>
  <c r="E72"/>
  <c r="F72" s="1"/>
  <c r="E71"/>
  <c r="F71" s="1"/>
  <c r="E70"/>
  <c r="F70" s="1"/>
  <c r="E69"/>
  <c r="F69" s="1"/>
  <c r="E68"/>
  <c r="F68" s="1"/>
  <c r="E67"/>
  <c r="F67" s="1"/>
  <c r="E66"/>
  <c r="F66" s="1"/>
  <c r="E59"/>
  <c r="F59" s="1"/>
  <c r="E57"/>
  <c r="F57" s="1"/>
  <c r="E56"/>
  <c r="F56" s="1"/>
  <c r="E48"/>
  <c r="F48" s="1"/>
  <c r="E45"/>
  <c r="F45" s="1"/>
  <c r="E38"/>
  <c r="F38" s="1"/>
  <c r="E28"/>
  <c r="F28" s="1"/>
  <c r="E26"/>
  <c r="F26" s="1"/>
  <c r="E24"/>
  <c r="F24" s="1"/>
  <c r="E23"/>
  <c r="F23" s="1"/>
  <c r="E22"/>
  <c r="F22" s="1"/>
  <c r="E12"/>
  <c r="F12" s="1"/>
  <c r="E10"/>
  <c r="F10" s="1"/>
  <c r="K50" i="25"/>
  <c r="I16"/>
  <c r="L16"/>
  <c r="M16" s="1"/>
  <c r="I15"/>
  <c r="L15" s="1"/>
  <c r="M15" s="1"/>
  <c r="I14"/>
  <c r="L14"/>
  <c r="M14" s="1"/>
  <c r="I13"/>
  <c r="L13" s="1"/>
  <c r="M13" s="1"/>
  <c r="I12"/>
  <c r="L12"/>
  <c r="M12" s="1"/>
  <c r="I11"/>
  <c r="L11" s="1"/>
  <c r="M11" s="1"/>
  <c r="I10"/>
  <c r="L10"/>
  <c r="M10" s="1"/>
  <c r="I9"/>
  <c r="L9" s="1"/>
  <c r="M9" s="1"/>
  <c r="F50"/>
  <c r="I8"/>
  <c r="L8" s="1"/>
  <c r="E50"/>
  <c r="I49"/>
  <c r="L49" s="1"/>
  <c r="M49" s="1"/>
  <c r="Q28" s="1"/>
  <c r="I48"/>
  <c r="L48" s="1"/>
  <c r="M48" s="1"/>
  <c r="Q27" s="1"/>
  <c r="I47"/>
  <c r="L47" s="1"/>
  <c r="M47" s="1"/>
  <c r="Q26" s="1"/>
  <c r="I46"/>
  <c r="L46" s="1"/>
  <c r="M46" s="1"/>
  <c r="Q25" s="1"/>
  <c r="I45"/>
  <c r="L45" s="1"/>
  <c r="M45" s="1"/>
  <c r="Q24" s="1"/>
  <c r="I44"/>
  <c r="L44" s="1"/>
  <c r="M44" s="1"/>
  <c r="Q23" s="1"/>
  <c r="I43"/>
  <c r="L43" s="1"/>
  <c r="M43" s="1"/>
  <c r="Q22" s="1"/>
  <c r="I42"/>
  <c r="L42" s="1"/>
  <c r="M42" s="1"/>
  <c r="Q21" s="1"/>
  <c r="I41"/>
  <c r="L41" s="1"/>
  <c r="M41" s="1"/>
  <c r="Q20" s="1"/>
  <c r="I40"/>
  <c r="L40" s="1"/>
  <c r="M40" s="1"/>
  <c r="Q19" s="1"/>
  <c r="I39"/>
  <c r="L39" s="1"/>
  <c r="M39" s="1"/>
  <c r="Q18" s="1"/>
  <c r="I38"/>
  <c r="L38" s="1"/>
  <c r="M38" s="1"/>
  <c r="Q17" s="1"/>
  <c r="I37"/>
  <c r="L37" s="1"/>
  <c r="M37" s="1"/>
  <c r="Q16" s="1"/>
  <c r="I36"/>
  <c r="L36" s="1"/>
  <c r="M36" s="1"/>
  <c r="Q15" s="1"/>
  <c r="I35"/>
  <c r="L35" s="1"/>
  <c r="M35" s="1"/>
  <c r="Q14" s="1"/>
  <c r="I34"/>
  <c r="L34" s="1"/>
  <c r="M34" s="1"/>
  <c r="Q13" s="1"/>
  <c r="I33"/>
  <c r="L33" s="1"/>
  <c r="M33" s="1"/>
  <c r="Q12" s="1"/>
  <c r="I32"/>
  <c r="L32" s="1"/>
  <c r="M32" s="1"/>
  <c r="Q11" s="1"/>
  <c r="I31"/>
  <c r="L31" s="1"/>
  <c r="M31" s="1"/>
  <c r="Q10" s="1"/>
  <c r="I30"/>
  <c r="L30" s="1"/>
  <c r="M30" s="1"/>
  <c r="Q9" s="1"/>
  <c r="I29"/>
  <c r="L29" s="1"/>
  <c r="M29" s="1"/>
  <c r="Q8" s="1"/>
  <c r="I28"/>
  <c r="L28" s="1"/>
  <c r="M28" s="1"/>
  <c r="I27"/>
  <c r="L27"/>
  <c r="M27" s="1"/>
  <c r="I26"/>
  <c r="L26" s="1"/>
  <c r="M26" s="1"/>
  <c r="I25"/>
  <c r="L25"/>
  <c r="M25" s="1"/>
  <c r="I24"/>
  <c r="L24" s="1"/>
  <c r="M24" s="1"/>
  <c r="I23"/>
  <c r="L23"/>
  <c r="M23" s="1"/>
  <c r="I22"/>
  <c r="L22" s="1"/>
  <c r="M22" s="1"/>
  <c r="I21"/>
  <c r="L21"/>
  <c r="M21" s="1"/>
  <c r="I20"/>
  <c r="L20" s="1"/>
  <c r="M20" s="1"/>
  <c r="I19"/>
  <c r="L19"/>
  <c r="M19" s="1"/>
  <c r="I18"/>
  <c r="L18" s="1"/>
  <c r="M18" s="1"/>
  <c r="I17"/>
  <c r="L17"/>
  <c r="M17" s="1"/>
  <c r="J50"/>
  <c r="H50"/>
  <c r="G50"/>
  <c r="O7" i="26"/>
  <c r="O8"/>
  <c r="O9"/>
  <c r="O10"/>
  <c r="O11"/>
  <c r="O12"/>
  <c r="O13"/>
  <c r="O17"/>
  <c r="O14"/>
  <c r="O15"/>
  <c r="O16"/>
  <c r="H7"/>
  <c r="H18"/>
  <c r="P18"/>
  <c r="H17"/>
  <c r="P17" s="1"/>
  <c r="H16"/>
  <c r="H15"/>
  <c r="P15" s="1"/>
  <c r="H14"/>
  <c r="P14"/>
  <c r="H13"/>
  <c r="P13" s="1"/>
  <c r="H12"/>
  <c r="P12"/>
  <c r="H11"/>
  <c r="P11" s="1"/>
  <c r="H10"/>
  <c r="P10"/>
  <c r="H9"/>
  <c r="P9" s="1"/>
  <c r="H8"/>
  <c r="I7"/>
  <c r="I16"/>
  <c r="I13"/>
  <c r="I9"/>
  <c r="I8"/>
  <c r="P8" s="1"/>
  <c r="P16"/>
  <c r="P7"/>
  <c r="Q7"/>
  <c r="E43" i="24"/>
  <c r="F43"/>
  <c r="E25"/>
  <c r="F25"/>
  <c r="O114" i="2"/>
  <c r="O118"/>
  <c r="E26" i="24"/>
  <c r="F26"/>
  <c r="E44"/>
  <c r="F44" s="1"/>
  <c r="F30" s="1"/>
  <c r="E57"/>
  <c r="F57"/>
  <c r="O126" i="2"/>
  <c r="O111"/>
  <c r="E61" i="3"/>
  <c r="F61"/>
  <c r="E53"/>
  <c r="F53" s="1"/>
  <c r="F47" s="1"/>
  <c r="E44" i="20"/>
  <c r="F44"/>
  <c r="E30"/>
  <c r="F30" s="1"/>
  <c r="F18" s="1"/>
  <c r="E16"/>
  <c r="F16"/>
  <c r="E28" i="21"/>
  <c r="F28" s="1"/>
  <c r="F17" s="1"/>
  <c r="E15"/>
  <c r="F15"/>
  <c r="E11" i="22"/>
  <c r="F11" s="1"/>
  <c r="F2" s="1"/>
  <c r="E66" i="23"/>
  <c r="F66"/>
  <c r="E55"/>
  <c r="F55"/>
  <c r="E35"/>
  <c r="F35" s="1"/>
  <c r="F20" s="1"/>
  <c r="E18"/>
  <c r="F18"/>
  <c r="E12" i="24"/>
  <c r="F12" s="1"/>
  <c r="E71" i="19"/>
  <c r="F71" s="1"/>
  <c r="F66"/>
  <c r="E12" i="17"/>
  <c r="F12"/>
  <c r="E23"/>
  <c r="F23"/>
  <c r="F14" s="1"/>
  <c r="E34"/>
  <c r="F34" s="1"/>
  <c r="F25" s="1"/>
  <c r="E46"/>
  <c r="F46"/>
  <c r="F36" s="1"/>
  <c r="E56"/>
  <c r="F56" s="1"/>
  <c r="F48" s="1"/>
  <c r="E67"/>
  <c r="F67"/>
  <c r="F58" s="1"/>
  <c r="E78"/>
  <c r="F78" s="1"/>
  <c r="F69" s="1"/>
  <c r="E13" i="16"/>
  <c r="F13"/>
  <c r="F2" s="1"/>
  <c r="E27"/>
  <c r="F27" s="1"/>
  <c r="F15" s="1"/>
  <c r="E42"/>
  <c r="F42"/>
  <c r="F29" s="1"/>
  <c r="E13" i="15"/>
  <c r="F13" s="1"/>
  <c r="F2" s="1"/>
  <c r="E28"/>
  <c r="F28"/>
  <c r="F15" s="1"/>
  <c r="E42"/>
  <c r="F42" s="1"/>
  <c r="F30" s="1"/>
  <c r="E53"/>
  <c r="F53"/>
  <c r="F44" s="1"/>
  <c r="E72"/>
  <c r="F72" s="1"/>
  <c r="F56" s="1"/>
  <c r="E11" i="14"/>
  <c r="F11"/>
  <c r="F2" s="1"/>
  <c r="E24"/>
  <c r="F24" s="1"/>
  <c r="F13" s="1"/>
  <c r="E40"/>
  <c r="F40"/>
  <c r="F26" s="1"/>
  <c r="E54"/>
  <c r="F54" s="1"/>
  <c r="F42" s="1"/>
  <c r="E64"/>
  <c r="F64"/>
  <c r="F56" s="1"/>
  <c r="E74"/>
  <c r="F74" s="1"/>
  <c r="F66" s="1"/>
  <c r="E86"/>
  <c r="F86"/>
  <c r="F76" s="1"/>
  <c r="E98"/>
  <c r="F98" s="1"/>
  <c r="F88" s="1"/>
  <c r="E107"/>
  <c r="F107"/>
  <c r="F100" s="1"/>
  <c r="E119"/>
  <c r="F119" s="1"/>
  <c r="F109" s="1"/>
  <c r="E131"/>
  <c r="F131"/>
  <c r="F121" s="1"/>
  <c r="E12" i="13"/>
  <c r="F12" s="1"/>
  <c r="F2" s="1"/>
  <c r="E14" i="11"/>
  <c r="F14"/>
  <c r="F2" s="1"/>
  <c r="E29"/>
  <c r="F29" s="1"/>
  <c r="F16" s="1"/>
  <c r="E38"/>
  <c r="F38"/>
  <c r="F31" s="1"/>
  <c r="E48"/>
  <c r="F48" s="1"/>
  <c r="F40" s="1"/>
  <c r="E78"/>
  <c r="F78"/>
  <c r="F70" s="1"/>
  <c r="E14" i="10"/>
  <c r="F14" s="1"/>
  <c r="F2" s="1"/>
  <c r="E30"/>
  <c r="F30"/>
  <c r="F17" s="1"/>
  <c r="E40"/>
  <c r="F40" s="1"/>
  <c r="F32" s="1"/>
  <c r="E50"/>
  <c r="F50"/>
  <c r="F42" s="1"/>
  <c r="E61"/>
  <c r="F61" s="1"/>
  <c r="F52" s="1"/>
  <c r="E103"/>
  <c r="F103"/>
  <c r="F95" s="1"/>
  <c r="E29" i="3"/>
  <c r="F29" s="1"/>
  <c r="F23" s="1"/>
  <c r="E45"/>
  <c r="F45"/>
  <c r="F39" s="1"/>
  <c r="O109" i="2"/>
  <c r="E13" i="24"/>
  <c r="F13"/>
  <c r="F2" s="1"/>
  <c r="E36" i="19"/>
  <c r="F36" s="1"/>
  <c r="F20" s="1"/>
  <c r="E46"/>
  <c r="F46"/>
  <c r="F38" s="1"/>
  <c r="E90"/>
  <c r="F90" s="1"/>
  <c r="F81" s="1"/>
  <c r="E99"/>
  <c r="F99"/>
  <c r="F92" s="1"/>
  <c r="E109"/>
  <c r="F109" s="1"/>
  <c r="F101" s="1"/>
  <c r="E22" i="13"/>
  <c r="F22"/>
  <c r="F15" s="1"/>
  <c r="E33"/>
  <c r="F33" s="1"/>
  <c r="F24" s="1"/>
  <c r="E45"/>
  <c r="F45"/>
  <c r="F35" s="1"/>
  <c r="E54"/>
  <c r="F54" s="1"/>
  <c r="F47" s="1"/>
  <c r="E64"/>
  <c r="F64"/>
  <c r="F56" s="1"/>
  <c r="E9" i="12"/>
  <c r="F9" s="1"/>
  <c r="F2" s="1"/>
  <c r="E20"/>
  <c r="F20"/>
  <c r="F11" s="1"/>
  <c r="E59" i="11"/>
  <c r="F59" s="1"/>
  <c r="F50" s="1"/>
  <c r="E68"/>
  <c r="F68"/>
  <c r="F61" s="1"/>
  <c r="E77" i="10"/>
  <c r="F77" s="1"/>
  <c r="F63" s="1"/>
  <c r="E93"/>
  <c r="F93"/>
  <c r="F80" s="1"/>
  <c r="E11" i="9"/>
  <c r="F11" s="1"/>
  <c r="F2" s="1"/>
  <c r="E22"/>
  <c r="F22"/>
  <c r="F13" s="1"/>
  <c r="E34"/>
  <c r="F34" s="1"/>
  <c r="F24" s="1"/>
  <c r="E46"/>
  <c r="F46"/>
  <c r="F36" s="1"/>
  <c r="E57"/>
  <c r="F57" s="1"/>
  <c r="F48" s="1"/>
  <c r="E70"/>
  <c r="F70"/>
  <c r="F59" s="1"/>
  <c r="E80"/>
  <c r="F80" s="1"/>
  <c r="F72" s="1"/>
  <c r="E91"/>
  <c r="F91"/>
  <c r="F82" s="1"/>
  <c r="E103"/>
  <c r="F103" s="1"/>
  <c r="F93" s="1"/>
  <c r="E12" i="8"/>
  <c r="F12"/>
  <c r="F2" s="1"/>
  <c r="E24"/>
  <c r="F24" s="1"/>
  <c r="F14" s="1"/>
  <c r="E36"/>
  <c r="F36"/>
  <c r="F26" s="1"/>
  <c r="E48"/>
  <c r="F48" s="1"/>
  <c r="F38" s="1"/>
  <c r="E13" i="7"/>
  <c r="F13"/>
  <c r="F2" s="1"/>
  <c r="E12" i="6"/>
  <c r="F12" s="1"/>
  <c r="F2" s="1"/>
  <c r="E24"/>
  <c r="F24"/>
  <c r="F14" s="1"/>
  <c r="E36"/>
  <c r="F36" s="1"/>
  <c r="F26" s="1"/>
  <c r="E49"/>
  <c r="F49"/>
  <c r="F38" s="1"/>
  <c r="E61"/>
  <c r="F61" s="1"/>
  <c r="F51" s="1"/>
  <c r="E73"/>
  <c r="F73"/>
  <c r="F63" s="1"/>
  <c r="E85"/>
  <c r="F85" s="1"/>
  <c r="F75" s="1"/>
  <c r="E97"/>
  <c r="F97"/>
  <c r="F87" s="1"/>
  <c r="E110"/>
  <c r="F110" s="1"/>
  <c r="F99" s="1"/>
  <c r="E125"/>
  <c r="F125"/>
  <c r="F112" s="1"/>
  <c r="E13" i="5"/>
  <c r="F13" s="1"/>
  <c r="F2" s="1"/>
  <c r="E27"/>
  <c r="F27"/>
  <c r="F16" s="1"/>
  <c r="E40"/>
  <c r="F40" s="1"/>
  <c r="F29" s="1"/>
  <c r="E53"/>
  <c r="F53"/>
  <c r="F42" s="1"/>
  <c r="E66"/>
  <c r="F66" s="1"/>
  <c r="F55" s="1"/>
  <c r="E81"/>
  <c r="F81"/>
  <c r="E95"/>
  <c r="F95"/>
  <c r="F83" s="1"/>
  <c r="E108"/>
  <c r="F108" s="1"/>
  <c r="F97" s="1"/>
  <c r="E121"/>
  <c r="F121"/>
  <c r="F110" s="1"/>
  <c r="E134"/>
  <c r="F134" s="1"/>
  <c r="F123" s="1"/>
  <c r="E11" i="4"/>
  <c r="F11"/>
  <c r="F2" s="1"/>
  <c r="E23"/>
  <c r="F23" s="1"/>
  <c r="F13" s="1"/>
  <c r="E35"/>
  <c r="F35"/>
  <c r="F25" s="1"/>
  <c r="E47"/>
  <c r="F47" s="1"/>
  <c r="F37" s="1"/>
  <c r="O110" i="2"/>
  <c r="F57" i="23"/>
  <c r="H66" s="1"/>
  <c r="D5" i="1"/>
  <c r="C6"/>
  <c r="E6"/>
  <c r="D7"/>
  <c r="C8"/>
  <c r="E8"/>
  <c r="D9"/>
  <c r="C10"/>
  <c r="E10"/>
  <c r="D11"/>
  <c r="C12"/>
  <c r="E12"/>
  <c r="D13"/>
  <c r="C14"/>
  <c r="E14"/>
  <c r="D15"/>
  <c r="C16"/>
  <c r="E16"/>
  <c r="D17"/>
  <c r="C18"/>
  <c r="E18"/>
  <c r="D19"/>
  <c r="C20"/>
  <c r="E20"/>
  <c r="D21"/>
  <c r="C22"/>
  <c r="E22"/>
  <c r="D23"/>
  <c r="C24"/>
  <c r="E24"/>
  <c r="D25"/>
  <c r="C26"/>
  <c r="E26"/>
  <c r="D27"/>
  <c r="C28"/>
  <c r="E28"/>
  <c r="D29"/>
  <c r="C30"/>
  <c r="E30"/>
  <c r="D31"/>
  <c r="C32"/>
  <c r="E32"/>
  <c r="D33"/>
  <c r="C34"/>
  <c r="E34"/>
  <c r="D35"/>
  <c r="C36"/>
  <c r="E36"/>
  <c r="D37"/>
  <c r="C38"/>
  <c r="E38"/>
  <c r="D39"/>
  <c r="C40"/>
  <c r="E40"/>
  <c r="D41"/>
  <c r="C42"/>
  <c r="E42"/>
  <c r="D43"/>
  <c r="C44"/>
  <c r="E44"/>
  <c r="D45"/>
  <c r="C46"/>
  <c r="E46"/>
  <c r="D47"/>
  <c r="C48"/>
  <c r="E48"/>
  <c r="D49"/>
  <c r="C50"/>
  <c r="E50"/>
  <c r="D51"/>
  <c r="C52"/>
  <c r="E52"/>
  <c r="D53"/>
  <c r="C54"/>
  <c r="E54"/>
  <c r="D55"/>
  <c r="C56"/>
  <c r="E56"/>
  <c r="D57"/>
  <c r="C58"/>
  <c r="E58"/>
  <c r="D59"/>
  <c r="C60"/>
  <c r="E60"/>
  <c r="D61"/>
  <c r="C62"/>
  <c r="E62"/>
  <c r="D63"/>
  <c r="C64"/>
  <c r="E64"/>
  <c r="D65"/>
  <c r="C66"/>
  <c r="E66"/>
  <c r="D67"/>
  <c r="C68"/>
  <c r="E68"/>
  <c r="D69"/>
  <c r="C70"/>
  <c r="E70"/>
  <c r="D71"/>
  <c r="C72"/>
  <c r="E72"/>
  <c r="D73"/>
  <c r="C74"/>
  <c r="E74"/>
  <c r="D75"/>
  <c r="C76"/>
  <c r="E76"/>
  <c r="D77"/>
  <c r="C78"/>
  <c r="E78"/>
  <c r="D79"/>
  <c r="C80"/>
  <c r="E80"/>
  <c r="D81"/>
  <c r="C82"/>
  <c r="E82"/>
  <c r="D83"/>
  <c r="C84"/>
  <c r="E84"/>
  <c r="D85"/>
  <c r="C86"/>
  <c r="E86"/>
  <c r="D87"/>
  <c r="C88"/>
  <c r="E88"/>
  <c r="D89"/>
  <c r="C90"/>
  <c r="E90"/>
  <c r="D91"/>
  <c r="C92"/>
  <c r="E92"/>
  <c r="D93"/>
  <c r="C94"/>
  <c r="E94"/>
  <c r="D95"/>
  <c r="C96"/>
  <c r="E96"/>
  <c r="D97"/>
  <c r="C98"/>
  <c r="E98"/>
  <c r="D99"/>
  <c r="C100"/>
  <c r="E100"/>
  <c r="D101"/>
  <c r="C102"/>
  <c r="E102"/>
  <c r="D103"/>
  <c r="C104"/>
  <c r="E104"/>
  <c r="D105"/>
  <c r="C106"/>
  <c r="E106"/>
  <c r="D107"/>
  <c r="C108"/>
  <c r="E108"/>
  <c r="D109"/>
  <c r="C110"/>
  <c r="E110"/>
  <c r="D111"/>
  <c r="C112"/>
  <c r="E112"/>
  <c r="D113"/>
  <c r="C114"/>
  <c r="E114"/>
  <c r="D115"/>
  <c r="C116"/>
  <c r="E116"/>
  <c r="D117"/>
  <c r="C118"/>
  <c r="E118"/>
  <c r="D119"/>
  <c r="C120"/>
  <c r="E120"/>
  <c r="D121"/>
  <c r="C122"/>
  <c r="E122"/>
  <c r="D123"/>
  <c r="C124"/>
  <c r="E124"/>
  <c r="D125"/>
  <c r="F9"/>
  <c r="F6"/>
  <c r="F22"/>
  <c r="F102"/>
  <c r="F95"/>
  <c r="F97"/>
  <c r="F99"/>
  <c r="F91"/>
  <c r="F85"/>
  <c r="F88"/>
  <c r="F87"/>
  <c r="F75"/>
  <c r="F77"/>
  <c r="F79"/>
  <c r="F81"/>
  <c r="F83"/>
  <c r="F68"/>
  <c r="F60"/>
  <c r="F62"/>
  <c r="F51"/>
  <c r="F53"/>
  <c r="F55"/>
  <c r="F8"/>
  <c r="F122"/>
  <c r="F104"/>
  <c r="F110"/>
  <c r="F69"/>
  <c r="F71"/>
  <c r="F73"/>
  <c r="F67"/>
  <c r="F64"/>
  <c r="F57"/>
  <c r="F43"/>
  <c r="F47"/>
  <c r="F38"/>
  <c r="F37"/>
  <c r="F30"/>
  <c r="F34"/>
  <c r="F18"/>
  <c r="F23"/>
  <c r="F13"/>
  <c r="F121"/>
  <c r="C5"/>
  <c r="E5"/>
  <c r="D6"/>
  <c r="C7"/>
  <c r="E7"/>
  <c r="D8"/>
  <c r="C9"/>
  <c r="E9"/>
  <c r="D10"/>
  <c r="C11"/>
  <c r="E11"/>
  <c r="D12"/>
  <c r="C13"/>
  <c r="E13"/>
  <c r="D14"/>
  <c r="C15"/>
  <c r="E15"/>
  <c r="D16"/>
  <c r="C17"/>
  <c r="E17"/>
  <c r="D18"/>
  <c r="C19"/>
  <c r="E19"/>
  <c r="D20"/>
  <c r="C21"/>
  <c r="E21"/>
  <c r="D22"/>
  <c r="C23"/>
  <c r="E23"/>
  <c r="D24"/>
  <c r="C25"/>
  <c r="E25"/>
  <c r="D26"/>
  <c r="C27"/>
  <c r="E27"/>
  <c r="D28"/>
  <c r="C29"/>
  <c r="E29"/>
  <c r="D30"/>
  <c r="C31"/>
  <c r="E31"/>
  <c r="D32"/>
  <c r="C33"/>
  <c r="E33"/>
  <c r="D34"/>
  <c r="C35"/>
  <c r="E35"/>
  <c r="D36"/>
  <c r="C37"/>
  <c r="E37"/>
  <c r="D38"/>
  <c r="C39"/>
  <c r="E39"/>
  <c r="D40"/>
  <c r="C41"/>
  <c r="E41"/>
  <c r="D42"/>
  <c r="C43"/>
  <c r="E43"/>
  <c r="D44"/>
  <c r="C45"/>
  <c r="E45"/>
  <c r="D46"/>
  <c r="C47"/>
  <c r="E47"/>
  <c r="D48"/>
  <c r="C49"/>
  <c r="E49"/>
  <c r="D50"/>
  <c r="C51"/>
  <c r="E51"/>
  <c r="D52"/>
  <c r="C53"/>
  <c r="E53"/>
  <c r="D54"/>
  <c r="C55"/>
  <c r="E55"/>
  <c r="D56"/>
  <c r="C57"/>
  <c r="E57"/>
  <c r="D58"/>
  <c r="C59"/>
  <c r="E59"/>
  <c r="D60"/>
  <c r="C61"/>
  <c r="E61"/>
  <c r="D62"/>
  <c r="C63"/>
  <c r="E63"/>
  <c r="D64"/>
  <c r="C65"/>
  <c r="E65"/>
  <c r="D66"/>
  <c r="C67"/>
  <c r="E67"/>
  <c r="D68"/>
  <c r="C69"/>
  <c r="E69"/>
  <c r="D70"/>
  <c r="C71"/>
  <c r="E71"/>
  <c r="D72"/>
  <c r="C73"/>
  <c r="E73"/>
  <c r="D74"/>
  <c r="C75"/>
  <c r="E75"/>
  <c r="D76"/>
  <c r="C77"/>
  <c r="E77"/>
  <c r="D78"/>
  <c r="C79"/>
  <c r="E79"/>
  <c r="D80"/>
  <c r="C81"/>
  <c r="E81"/>
  <c r="D82"/>
  <c r="C83"/>
  <c r="E83"/>
  <c r="D84"/>
  <c r="C85"/>
  <c r="E85"/>
  <c r="D86"/>
  <c r="C87"/>
  <c r="E87"/>
  <c r="D88"/>
  <c r="C89"/>
  <c r="E89"/>
  <c r="D90"/>
  <c r="C91"/>
  <c r="E91"/>
  <c r="D92"/>
  <c r="C93"/>
  <c r="E93"/>
  <c r="D94"/>
  <c r="C95"/>
  <c r="E95"/>
  <c r="D96"/>
  <c r="C97"/>
  <c r="E97"/>
  <c r="D98"/>
  <c r="C99"/>
  <c r="E99"/>
  <c r="D100"/>
  <c r="C101"/>
  <c r="E101"/>
  <c r="D102"/>
  <c r="C103"/>
  <c r="E103"/>
  <c r="D104"/>
  <c r="C105"/>
  <c r="E105"/>
  <c r="D106"/>
  <c r="C107"/>
  <c r="E107"/>
  <c r="D108"/>
  <c r="C109"/>
  <c r="E109"/>
  <c r="D110"/>
  <c r="C111"/>
  <c r="E111"/>
  <c r="D112"/>
  <c r="C113"/>
  <c r="E113"/>
  <c r="D114"/>
  <c r="C115"/>
  <c r="E115"/>
  <c r="D116"/>
  <c r="C117"/>
  <c r="E117"/>
  <c r="D118"/>
  <c r="C119"/>
  <c r="E119"/>
  <c r="D120"/>
  <c r="C121"/>
  <c r="E121"/>
  <c r="D122"/>
  <c r="C123"/>
  <c r="E123"/>
  <c r="D124"/>
  <c r="C125"/>
  <c r="E125"/>
  <c r="F101"/>
  <c r="F7"/>
  <c r="F5"/>
  <c r="F100"/>
  <c r="F124"/>
  <c r="F11"/>
  <c r="F113"/>
  <c r="F116"/>
  <c r="F117"/>
  <c r="F119"/>
  <c r="F107"/>
  <c r="F94"/>
  <c r="F96"/>
  <c r="F98"/>
  <c r="F90"/>
  <c r="F92"/>
  <c r="F86"/>
  <c r="F89"/>
  <c r="F74"/>
  <c r="F76"/>
  <c r="F78"/>
  <c r="F80"/>
  <c r="F82"/>
  <c r="F84"/>
  <c r="F59"/>
  <c r="F61"/>
  <c r="F65"/>
  <c r="F52"/>
  <c r="F54"/>
  <c r="F58"/>
  <c r="F10"/>
  <c r="F103"/>
  <c r="F109"/>
  <c r="F111"/>
  <c r="F70"/>
  <c r="F72"/>
  <c r="F66"/>
  <c r="F63"/>
  <c r="F56"/>
  <c r="F42"/>
  <c r="F44"/>
  <c r="F46"/>
  <c r="F48"/>
  <c r="F50"/>
  <c r="F39"/>
  <c r="F41"/>
  <c r="F27"/>
  <c r="F29"/>
  <c r="F31"/>
  <c r="F33"/>
  <c r="F35"/>
  <c r="F17"/>
  <c r="F19"/>
  <c r="F21"/>
  <c r="F24"/>
  <c r="F26"/>
  <c r="F14"/>
  <c r="F16"/>
  <c r="F45"/>
  <c r="F49"/>
  <c r="F40"/>
  <c r="F28"/>
  <c r="F32"/>
  <c r="F36"/>
  <c r="F20"/>
  <c r="F25"/>
  <c r="F15"/>
  <c r="N8" i="26" l="1"/>
  <c r="Q8"/>
  <c r="N12"/>
  <c r="Q12"/>
  <c r="N16"/>
  <c r="Q16"/>
  <c r="E181" i="2" s="1"/>
  <c r="F55" i="3"/>
  <c r="Q11" i="26"/>
  <c r="Q15"/>
  <c r="F37" i="23"/>
  <c r="F2" i="17"/>
  <c r="F73" i="19"/>
  <c r="F57"/>
  <c r="F15" i="24"/>
  <c r="M8" i="25"/>
  <c r="M50" s="1"/>
  <c r="L50"/>
  <c r="N10" i="26"/>
  <c r="Q10"/>
  <c r="N14"/>
  <c r="Q14"/>
  <c r="O18"/>
  <c r="Q9"/>
  <c r="Q13"/>
  <c r="Q17"/>
  <c r="F48" i="24"/>
  <c r="F2" i="20"/>
  <c r="F2" i="21"/>
  <c r="F2" i="23"/>
  <c r="F32" i="20"/>
  <c r="F48" i="19"/>
  <c r="I50" i="25"/>
  <c r="L18" i="26"/>
  <c r="Q18" s="1"/>
  <c r="F120" i="1"/>
  <c r="F108"/>
  <c r="F123"/>
  <c r="F125"/>
  <c r="F115"/>
  <c r="F114"/>
  <c r="F12"/>
  <c r="F93"/>
  <c r="F106"/>
  <c r="F112"/>
  <c r="F118"/>
  <c r="F105"/>
</calcChain>
</file>

<file path=xl/comments1.xml><?xml version="1.0" encoding="utf-8"?>
<comments xmlns="http://schemas.openxmlformats.org/spreadsheetml/2006/main">
  <authors>
    <author>Javier Borelli</author>
    <author>SOP</author>
    <author>Pablo Daniel Gutierrez</author>
  </authors>
  <commentList>
    <comment ref="G315" authorId="0">
      <text>
        <r>
          <rPr>
            <b/>
            <sz val="8"/>
            <color indexed="81"/>
            <rFont val="Tahoma"/>
            <family val="2"/>
          </rPr>
          <t>Javier Borelli:</t>
        </r>
        <r>
          <rPr>
            <sz val="8"/>
            <color indexed="81"/>
            <rFont val="Tahoma"/>
            <family val="2"/>
          </rPr>
          <t xml:space="preserve">
1,03433 es la variac. de dólar con respecto a Julio.</t>
        </r>
      </text>
    </comment>
    <comment ref="G368" authorId="1">
      <text>
        <r>
          <rPr>
            <b/>
            <sz val="8"/>
            <color indexed="81"/>
            <rFont val="Tahoma"/>
            <family val="2"/>
          </rPr>
          <t>Javier:</t>
        </r>
        <r>
          <rPr>
            <sz val="8"/>
            <color indexed="81"/>
            <rFont val="Tahoma"/>
            <family val="2"/>
          </rPr>
          <t xml:space="preserve">
en setiembre aumentó un 10% en todos los insumos
</t>
        </r>
      </text>
    </comment>
    <comment ref="I369" authorId="1">
      <text>
        <r>
          <rPr>
            <b/>
            <sz val="8"/>
            <color indexed="81"/>
            <rFont val="Tahoma"/>
            <family val="2"/>
          </rPr>
          <t>Javier:</t>
        </r>
        <r>
          <rPr>
            <sz val="8"/>
            <color indexed="81"/>
            <rFont val="Tahoma"/>
            <family val="2"/>
          </rPr>
          <t xml:space="preserve">
en setiembre aumentó un 10% en todos los insumos
</t>
        </r>
      </text>
    </comment>
    <comment ref="G390" authorId="2">
      <text>
        <r>
          <rPr>
            <b/>
            <sz val="8"/>
            <color indexed="81"/>
            <rFont val="Tahoma"/>
            <family val="2"/>
          </rPr>
          <t xml:space="preserve">Cotiza CEAR
</t>
        </r>
      </text>
    </comment>
  </commentList>
</comments>
</file>

<file path=xl/sharedStrings.xml><?xml version="1.0" encoding="utf-8"?>
<sst xmlns="http://schemas.openxmlformats.org/spreadsheetml/2006/main" count="5014" uniqueCount="1982">
  <si>
    <t>planta eleboradora de hormigón</t>
  </si>
  <si>
    <t>eq.022</t>
  </si>
  <si>
    <t>enlame</t>
  </si>
  <si>
    <t>arena mediana</t>
  </si>
  <si>
    <t>eq.024</t>
  </si>
  <si>
    <t>$</t>
  </si>
  <si>
    <t>Nº</t>
  </si>
  <si>
    <t>Código
Fórmula</t>
  </si>
  <si>
    <t>Valor Fórmula</t>
  </si>
  <si>
    <t>Rubro</t>
  </si>
  <si>
    <t>Unidad</t>
  </si>
  <si>
    <t>0.18.25.F</t>
  </si>
  <si>
    <t>0.24.70.F</t>
  </si>
  <si>
    <t>0.24.50.F</t>
  </si>
  <si>
    <t>0.06.06.F</t>
  </si>
  <si>
    <t>0.12.00.F</t>
  </si>
  <si>
    <t xml:space="preserve">estr. de Hº Aº </t>
  </si>
  <si>
    <t>piso y zóc.cerám. esmaltado</t>
  </si>
  <si>
    <t>0.27.31.A</t>
  </si>
  <si>
    <t>PVC viv. Unifam. Conexión a red</t>
  </si>
  <si>
    <t>pilar de luz simple completo</t>
  </si>
  <si>
    <t>0.99.01.F</t>
  </si>
  <si>
    <t>cercos alambrado 4 hilos galvan.</t>
  </si>
  <si>
    <t>cercos mojón divisorio</t>
  </si>
  <si>
    <t>0.99.03.F</t>
  </si>
  <si>
    <t>0.99.04.F</t>
  </si>
  <si>
    <t>0.99.05.F</t>
  </si>
  <si>
    <t>forestacion</t>
  </si>
  <si>
    <t>0.99.06.F</t>
  </si>
  <si>
    <t>pergolas</t>
  </si>
  <si>
    <t>PEAD  s/conexión</t>
  </si>
  <si>
    <t>vi.004</t>
  </si>
  <si>
    <t>vidrio triple transparente</t>
  </si>
  <si>
    <t>PRECIO 1</t>
  </si>
  <si>
    <t>PRECIO 2</t>
  </si>
  <si>
    <t>PROMEDIO</t>
  </si>
  <si>
    <t>metal desplegado 0.75mx2.00m.</t>
  </si>
  <si>
    <t>ad.001</t>
  </si>
  <si>
    <t>antisol normalizado</t>
  </si>
  <si>
    <t>ad.002</t>
  </si>
  <si>
    <t>acelerante de fragüe</t>
  </si>
  <si>
    <t>membrana s/aluminio 4 mm espesor</t>
  </si>
  <si>
    <t>ai.007</t>
  </si>
  <si>
    <t>asfalto plástico p/juntas de pavimento</t>
  </si>
  <si>
    <t>ai.009</t>
  </si>
  <si>
    <t>plástico 100 micrones</t>
  </si>
  <si>
    <t>ar.002</t>
  </si>
  <si>
    <t>ar.008</t>
  </si>
  <si>
    <t>viguetas pretensadas 3.90 m.</t>
  </si>
  <si>
    <t>ca.002</t>
  </si>
  <si>
    <t>ca.003</t>
  </si>
  <si>
    <t>ch.011</t>
  </si>
  <si>
    <t>caño estructural redondo 3" x 1,6 x 6mt.</t>
  </si>
  <si>
    <t>chapa FºCº acanalada de 6 mm, de 1.10m.x 2.44m.</t>
  </si>
  <si>
    <t>chapa H°G° N°27, 3.05 x 1.10 m.</t>
  </si>
  <si>
    <t>ch.010</t>
  </si>
  <si>
    <t>chapa de hierro N°18 DD de 1 x 2 m.</t>
  </si>
  <si>
    <t>cable cobre aislado 1 x 2.5 mm2.</t>
  </si>
  <si>
    <t>calefactor TB 3800 calorias</t>
  </si>
  <si>
    <t>calefón 14 litros blanco</t>
  </si>
  <si>
    <t>cocina 4 hornallas</t>
  </si>
  <si>
    <t>la.002</t>
  </si>
  <si>
    <t>ladrillo hueco 8T  12x18x30</t>
  </si>
  <si>
    <t>adhesivo p/piso cerámico</t>
  </si>
  <si>
    <t>madera 1ra. pino nacional cepillada</t>
  </si>
  <si>
    <t>ma.002</t>
  </si>
  <si>
    <t>tirante pino 3"x3" s/cepillar</t>
  </si>
  <si>
    <t>ma.003</t>
  </si>
  <si>
    <t>madera 1ra. pino nacional s/cepillar</t>
  </si>
  <si>
    <t>aguarrás</t>
  </si>
  <si>
    <t>antióxido rojo plata x 4 lts.</t>
  </si>
  <si>
    <t>pi.030</t>
  </si>
  <si>
    <t>pi.031</t>
  </si>
  <si>
    <t xml:space="preserve">pintura siliconadas p/ladrillos </t>
  </si>
  <si>
    <t>pi.032</t>
  </si>
  <si>
    <t>thinner</t>
  </si>
  <si>
    <t>placa durlock 1.20mx2.40m  12.50mm</t>
  </si>
  <si>
    <t>pl.001</t>
  </si>
  <si>
    <t>sa.112</t>
  </si>
  <si>
    <t>ramal Y PVC Cloacal d=160x110mm</t>
  </si>
  <si>
    <t>sa.001</t>
  </si>
  <si>
    <t>ramal Y PVC 0.110x0.110</t>
  </si>
  <si>
    <t>sa.002</t>
  </si>
  <si>
    <t>curva PVC 45° 110</t>
  </si>
  <si>
    <t>bacha simple acero inox. 52 x 32x18</t>
  </si>
  <si>
    <t>inodoro sifónico losa</t>
  </si>
  <si>
    <t>caño PVC Cloacal JE 160mm</t>
  </si>
  <si>
    <t>medidor de agua</t>
  </si>
  <si>
    <t>ramal Y PVC 0.110x0.63</t>
  </si>
  <si>
    <t>baldosa roja 20x20 tipo azotea</t>
  </si>
  <si>
    <t>cerámico esmaltado 20x20</t>
  </si>
  <si>
    <t>te.002</t>
  </si>
  <si>
    <t>teja colonial</t>
  </si>
  <si>
    <t>vi.001</t>
  </si>
  <si>
    <t>vi.002</t>
  </si>
  <si>
    <t>espejo 3mm</t>
  </si>
  <si>
    <t>policarbonato 4mm</t>
  </si>
  <si>
    <t xml:space="preserve">tubo Pead Gas 25mm 4bar </t>
  </si>
  <si>
    <t xml:space="preserve">tubo Pead Gas 50mm 4bar </t>
  </si>
  <si>
    <t xml:space="preserve">tubo Pead Gas 63mm 4bar </t>
  </si>
  <si>
    <t>te Normal Gas E/F PE80 63mm</t>
  </si>
  <si>
    <t>toma Servicio Gas E/F 63x25mm</t>
  </si>
  <si>
    <t>toma Servicio Gas E/F 50x25mm</t>
  </si>
  <si>
    <t>marco y tapa H°D° 85/90Kg. Sist. Abisagrado</t>
  </si>
  <si>
    <t>caño Pead Agua20mm</t>
  </si>
  <si>
    <t>caño Pead Agua 63mm</t>
  </si>
  <si>
    <t>caño Pead Agua 75mm</t>
  </si>
  <si>
    <t>cupla Pead Agua 63mm</t>
  </si>
  <si>
    <t>cupla Pead Agua 75mm</t>
  </si>
  <si>
    <t>te normal Pead Agua 63mm</t>
  </si>
  <si>
    <t>válvula esclusa doble brida H°D° 63mm</t>
  </si>
  <si>
    <t>abrazadera diámetro 63mm con racord de 1/2"</t>
  </si>
  <si>
    <t>Topadrora D7</t>
  </si>
  <si>
    <t>retroexcavadora 87 H.P.</t>
  </si>
  <si>
    <t>pala cargadora 140 H.P.</t>
  </si>
  <si>
    <t>motoniveladora 180 H.P.</t>
  </si>
  <si>
    <t>camión volcador 140 H.P.</t>
  </si>
  <si>
    <t>tractor engomado 100 H.P.</t>
  </si>
  <si>
    <t>rodillo neumático de arrastre</t>
  </si>
  <si>
    <t>rodillo pata de cabra de arrastre</t>
  </si>
  <si>
    <t>tanque acoplado 10000 litros</t>
  </si>
  <si>
    <t>gabinete medidor gas</t>
  </si>
  <si>
    <t xml:space="preserve">    Análisis Costo de Equipos</t>
  </si>
  <si>
    <t>Denominación de Equipos</t>
  </si>
  <si>
    <t>Valor de equipo</t>
  </si>
  <si>
    <t>Vida útil</t>
  </si>
  <si>
    <t>Potencia HP</t>
  </si>
  <si>
    <t>$ comb.</t>
  </si>
  <si>
    <t>Interés</t>
  </si>
  <si>
    <t>Cantidad Personal</t>
  </si>
  <si>
    <t xml:space="preserve">Costo fijo </t>
  </si>
  <si>
    <t>Costo de Funcionamiento</t>
  </si>
  <si>
    <t>Valor horario</t>
  </si>
  <si>
    <t>Ayudante</t>
  </si>
  <si>
    <t>Intereses</t>
  </si>
  <si>
    <t>Patente y seguros</t>
  </si>
  <si>
    <t>Combustible</t>
  </si>
  <si>
    <t>Lubricantes</t>
  </si>
  <si>
    <t>Reparaciones</t>
  </si>
  <si>
    <t>Mano de Obra</t>
  </si>
  <si>
    <t>Código</t>
  </si>
  <si>
    <t>fi.024</t>
  </si>
  <si>
    <t>fi.023</t>
  </si>
  <si>
    <t>ga.020</t>
  </si>
  <si>
    <t>ma.001</t>
  </si>
  <si>
    <t>ma.006</t>
  </si>
  <si>
    <t>pl.002</t>
  </si>
  <si>
    <t>rg.008</t>
  </si>
  <si>
    <t>rc.010</t>
  </si>
  <si>
    <t>rg.018</t>
  </si>
  <si>
    <t>ra.016</t>
  </si>
  <si>
    <t>rg.020</t>
  </si>
  <si>
    <t>ra.020</t>
  </si>
  <si>
    <t>ra.024</t>
  </si>
  <si>
    <t>ra.028</t>
  </si>
  <si>
    <t>ra.030</t>
  </si>
  <si>
    <t>ra.032</t>
  </si>
  <si>
    <t>rg.028</t>
  </si>
  <si>
    <t>rg.030</t>
  </si>
  <si>
    <t>ra.034</t>
  </si>
  <si>
    <t>sa.223</t>
  </si>
  <si>
    <t>eq.050</t>
  </si>
  <si>
    <t>eq.030</t>
  </si>
  <si>
    <t>eq.040</t>
  </si>
  <si>
    <t>eq.048</t>
  </si>
  <si>
    <t>eq.052</t>
  </si>
  <si>
    <t>eq.054</t>
  </si>
  <si>
    <t xml:space="preserve">Oficial espec </t>
  </si>
  <si>
    <t>Amort</t>
  </si>
  <si>
    <t>hr</t>
  </si>
  <si>
    <t>HP</t>
  </si>
  <si>
    <t>$/h</t>
  </si>
  <si>
    <t>0.12.06.F</t>
  </si>
  <si>
    <t>ch.020</t>
  </si>
  <si>
    <t>u</t>
  </si>
  <si>
    <t>placa durlock 1.20mx2.40m  9,5mm</t>
  </si>
  <si>
    <t>exterior proyectable</t>
  </si>
  <si>
    <t>0.57.02.F</t>
  </si>
  <si>
    <t>regulador y flexible p/gas natural</t>
  </si>
  <si>
    <t>el.010</t>
  </si>
  <si>
    <t>caja medidor 220V policarbonato EDESA</t>
  </si>
  <si>
    <t>pi.005</t>
  </si>
  <si>
    <t>0.72.41.F</t>
  </si>
  <si>
    <t>0.72.42.F</t>
  </si>
  <si>
    <t>0.72.50.F</t>
  </si>
  <si>
    <t>fo.010</t>
  </si>
  <si>
    <t>fo.020</t>
  </si>
  <si>
    <t>mantillo</t>
  </si>
  <si>
    <t>0.99.07.F</t>
  </si>
  <si>
    <t>PEAD  c/conexión hasta kit med</t>
  </si>
  <si>
    <t>1.20.01.F</t>
  </si>
  <si>
    <t>rg.004</t>
  </si>
  <si>
    <t>0.30.01.A</t>
  </si>
  <si>
    <t>0.33.35.A</t>
  </si>
  <si>
    <t>ra.036</t>
  </si>
  <si>
    <t>enripiado e=10 cm</t>
  </si>
  <si>
    <t>pavimento de hormigón e= 0.15</t>
  </si>
  <si>
    <t>1.80.01.A</t>
  </si>
  <si>
    <t>1.80.02.F</t>
  </si>
  <si>
    <t>1.80.01.F</t>
  </si>
  <si>
    <t>1.80.03.F</t>
  </si>
  <si>
    <t>eq.080</t>
  </si>
  <si>
    <t>nafta super</t>
  </si>
  <si>
    <t>ga.153</t>
  </si>
  <si>
    <t>caño epoxi 19 mm</t>
  </si>
  <si>
    <t>ga.156</t>
  </si>
  <si>
    <t>caño epoxi 25 mm</t>
  </si>
  <si>
    <t>pb.020</t>
  </si>
  <si>
    <t>motor motorarg S6 R4/30  30 H.P.</t>
  </si>
  <si>
    <t>pb.030</t>
  </si>
  <si>
    <t>arrancador suave WEG SSW-04.60 p/30H.P.</t>
  </si>
  <si>
    <t>pb.040</t>
  </si>
  <si>
    <t>bomba dosivac milenio 015 1.45 lts/h</t>
  </si>
  <si>
    <t>pb.050</t>
  </si>
  <si>
    <t>cable pirelli sintenax viper 3x35</t>
  </si>
  <si>
    <t>pb.060</t>
  </si>
  <si>
    <t>cupla E/F Gas PE80 50mm</t>
  </si>
  <si>
    <t>rg.006</t>
  </si>
  <si>
    <t>cupla E/F Gas PE80 63mm</t>
  </si>
  <si>
    <t>adoquines para pavimento</t>
  </si>
  <si>
    <t>puerta tablero 0.90 x 2.00 cedro</t>
  </si>
  <si>
    <t xml:space="preserve">cerradura de seguridad </t>
  </si>
  <si>
    <t>caño semipesado 5/8" x 3 m.</t>
  </si>
  <si>
    <t>interruptor termomagnético DIN 1x10 A</t>
  </si>
  <si>
    <t>topadora D-7  200 H.P.</t>
  </si>
  <si>
    <t>camión mixer 5 m3   240 H.P.</t>
  </si>
  <si>
    <t>planta elaboradora de hormigón 60 H.P.</t>
  </si>
  <si>
    <t>aserradora pavimento 8 H.P.</t>
  </si>
  <si>
    <t>bomba a explosión 5 H. P.</t>
  </si>
  <si>
    <t>camión con acoplado 15m3  312 H.P.</t>
  </si>
  <si>
    <t>plancha vibradora a explosión 6 H.P.</t>
  </si>
  <si>
    <t>regla vibradora 8 H.P.</t>
  </si>
  <si>
    <t>rodillo vibrador de arrastre 60 H.P.</t>
  </si>
  <si>
    <t>vibrador inmersión a nafta 4 H.P.</t>
  </si>
  <si>
    <t>cotización dólar promed. mensual</t>
  </si>
  <si>
    <t>árboles para forestación - fresno</t>
  </si>
  <si>
    <t>componentes epoxi x 1/4lt.</t>
  </si>
  <si>
    <t>llave p/gas cromada 1/2"</t>
  </si>
  <si>
    <t>de PVC s/conexión</t>
  </si>
  <si>
    <t>Tabla con vida útil de equipos (en horas) Chandías pag. 412</t>
  </si>
  <si>
    <t>Descripción</t>
  </si>
  <si>
    <t>Automóviles</t>
  </si>
  <si>
    <t>Bombas</t>
  </si>
  <si>
    <t>Calderas</t>
  </si>
  <si>
    <t>Camiones</t>
  </si>
  <si>
    <t>Cintas transportadoras</t>
  </si>
  <si>
    <t>Compresores</t>
  </si>
  <si>
    <t>Decauville (vías, locomotoras, furgones)</t>
  </si>
  <si>
    <t>Excavadoras</t>
  </si>
  <si>
    <t>Gruas y guinches</t>
  </si>
  <si>
    <t>Martinetes para hinca</t>
  </si>
  <si>
    <t>Grupos electrógenos</t>
  </si>
  <si>
    <t>Herramientas eléctricas</t>
  </si>
  <si>
    <t>Equipo de taller</t>
  </si>
  <si>
    <t>Equipo de perforaciones para conexiones</t>
  </si>
  <si>
    <t>Equipo de luz</t>
  </si>
  <si>
    <t>Equipo de soldadura</t>
  </si>
  <si>
    <t>Hormigoneras</t>
  </si>
  <si>
    <t>Moldes metálicos</t>
  </si>
  <si>
    <t>Motores a nafta</t>
  </si>
  <si>
    <t>Motores diesel</t>
  </si>
  <si>
    <t>Motores eléctricos</t>
  </si>
  <si>
    <t>Motoniveladoras</t>
  </si>
  <si>
    <t>Palas de arrastre p/tractores</t>
  </si>
  <si>
    <t>Planchas y tablestacas metálicas</t>
  </si>
  <si>
    <t>Tractores a oruga</t>
  </si>
  <si>
    <t>Tractores neumáticos</t>
  </si>
  <si>
    <t>Topadoras para tractor</t>
  </si>
  <si>
    <t>Zanjadoras</t>
  </si>
  <si>
    <t>eq.025</t>
  </si>
  <si>
    <t xml:space="preserve">LISTADO DE FORMULAS </t>
  </si>
  <si>
    <t>Mes:</t>
  </si>
  <si>
    <t>canasta 1 (camión volcador)</t>
  </si>
  <si>
    <t>canasta 2 (mixer 5m3)</t>
  </si>
  <si>
    <t>canasta 3 (retroexcavadora 87 HP)</t>
  </si>
  <si>
    <t>S.E.T.A.</t>
  </si>
  <si>
    <t xml:space="preserve">construcción de SETA 315 Kva. </t>
  </si>
  <si>
    <t>Cruceta de H°A° MN 157 (2,20 m) c/ganchos</t>
  </si>
  <si>
    <t xml:space="preserve">Descargador óxido de zinc con desligador </t>
  </si>
  <si>
    <t>Cable de Cu desnudo de 50 mm² de Secc.</t>
  </si>
  <si>
    <t>Transformador de potencia 13,2 KV, 315/0,4/0,231 KVA</t>
  </si>
  <si>
    <t>RED DE MEDIA TENSION</t>
  </si>
  <si>
    <t>tendido de Red Media Tensión</t>
  </si>
  <si>
    <t>Columna de Hº Aº Vº de 10,50/1000/3</t>
  </si>
  <si>
    <t>Seccionador fusible XS</t>
  </si>
  <si>
    <t>RED DE BAJA TENSION</t>
  </si>
  <si>
    <t>Columna de HºAºVº de 9,5/900/3</t>
  </si>
  <si>
    <t>Juego de retensión completo</t>
  </si>
  <si>
    <t>Juego de suspensión completo</t>
  </si>
  <si>
    <t>Conductor desnudo de cobre de 16 mm²</t>
  </si>
  <si>
    <t>Conductor prerreunido 4 x 10 mm²</t>
  </si>
  <si>
    <t>1.60.04.F</t>
  </si>
  <si>
    <t>ALUMBRADO PUBLICO</t>
  </si>
  <si>
    <t>Artefacto Strand MB 70 con SAP 250 W</t>
  </si>
  <si>
    <t>re.005</t>
  </si>
  <si>
    <t>re.010</t>
  </si>
  <si>
    <t>re.015</t>
  </si>
  <si>
    <t>re.020</t>
  </si>
  <si>
    <t>re.060</t>
  </si>
  <si>
    <t>re.065</t>
  </si>
  <si>
    <t>re.110</t>
  </si>
  <si>
    <t>tendido baja tension</t>
  </si>
  <si>
    <t>alumbrado público p/barrios</t>
  </si>
  <si>
    <t>Cable de Al desnudo de 50 mm² de Secc.</t>
  </si>
  <si>
    <t>Poste de eucaliptus creosotado 11 m</t>
  </si>
  <si>
    <t>Conductor CU forrado 1 x 35 mm²</t>
  </si>
  <si>
    <t>Aislador Orgánico 13,2/33kv</t>
  </si>
  <si>
    <t>Jabalina tipo Cooperweld 1,50x3/4"</t>
  </si>
  <si>
    <t>Cajas de derivación trifásica RBT</t>
  </si>
  <si>
    <t>Gabinete estanco PVC 600x600x300 c/cerrad. AºPº</t>
  </si>
  <si>
    <t>Grupo electrogeno Olympian GEP 250 kva c/cabina</t>
  </si>
  <si>
    <t>eq.123</t>
  </si>
  <si>
    <t>Grupo electrogeno Olympian 300 kva s/cabina</t>
  </si>
  <si>
    <t>eq.124</t>
  </si>
  <si>
    <t>Grupo electrogeno Olympian GEP 275 kva c/cabina</t>
  </si>
  <si>
    <t>eq.125</t>
  </si>
  <si>
    <t>Morseto de retensión - grampa peine</t>
  </si>
  <si>
    <t>Cruceta de Hº Aº separadora</t>
  </si>
  <si>
    <t>Conductor Cu preensamblado 3x95 + 1x50 m</t>
  </si>
  <si>
    <t>Caja de distribución polyester conj. Secc. APR c/fusibles SETA</t>
  </si>
  <si>
    <t>1.10.02.F</t>
  </si>
  <si>
    <t>caño H°G° RyC 4"</t>
  </si>
  <si>
    <t>Comando y Equipo Bombeo</t>
  </si>
  <si>
    <t>0.99.08.F</t>
  </si>
  <si>
    <t>contrapisos sobre losa e=5cm</t>
  </si>
  <si>
    <t>0.57.03.F</t>
  </si>
  <si>
    <t>pozo absorb y camara sep. Viv. unifam.</t>
  </si>
  <si>
    <t>0.99.09.F</t>
  </si>
  <si>
    <t>fi.025</t>
  </si>
  <si>
    <t>documentacion técnica</t>
  </si>
  <si>
    <t>fi.026</t>
  </si>
  <si>
    <t>fi.027</t>
  </si>
  <si>
    <t xml:space="preserve">copia xerox de planos </t>
  </si>
  <si>
    <t>madera viv. Unifamiliar incl equipam.</t>
  </si>
  <si>
    <t>0.39.03.F</t>
  </si>
  <si>
    <t>placard c/ptas. placas  incl. inter.c/ melamina</t>
  </si>
  <si>
    <t>0.60.31.F</t>
  </si>
  <si>
    <t>Epoxi viv. Unifamiliar a red c/artefactos</t>
  </si>
  <si>
    <t>PROVINCIA DE SALTA   -   I.P.D.U.V.</t>
  </si>
  <si>
    <t>PROVINCIA DE SALTA   -   INSTITUTO PROVINCIAL DE DESARROLLO URBANO Y VIVIENDA</t>
  </si>
  <si>
    <t>Item:</t>
  </si>
  <si>
    <t xml:space="preserve">Rubro:                                      </t>
  </si>
  <si>
    <t>Formula:</t>
  </si>
  <si>
    <t>gl</t>
  </si>
  <si>
    <t>l</t>
  </si>
  <si>
    <t>bolsa</t>
  </si>
  <si>
    <t>A - Materiales</t>
  </si>
  <si>
    <t>B - Mano de obra</t>
  </si>
  <si>
    <t>C - Equipos</t>
  </si>
  <si>
    <t>0.39.04.F</t>
  </si>
  <si>
    <t>metalica por edificio</t>
  </si>
  <si>
    <t>madera por edificio</t>
  </si>
  <si>
    <t>0.39.05.F</t>
  </si>
  <si>
    <t>vivienda colectiva s/conexión</t>
  </si>
  <si>
    <t>artefactos sanit.y grifer. Viv. Colectiva</t>
  </si>
  <si>
    <t>0.54.01.F</t>
  </si>
  <si>
    <t>0.57.04.F</t>
  </si>
  <si>
    <t>PVC vivienda Colectiva. s/ conexión a red</t>
  </si>
  <si>
    <t>0.99.10.F</t>
  </si>
  <si>
    <t>Instalación contra incendios edificios</t>
  </si>
  <si>
    <t>eq.200</t>
  </si>
  <si>
    <t>matafuegos 5 kg tipo ABC</t>
  </si>
  <si>
    <t>Vivienda colectiva completa</t>
  </si>
  <si>
    <t xml:space="preserve"> </t>
  </si>
  <si>
    <t>eq.090</t>
  </si>
  <si>
    <t>Grúa hidráulica Hidrogrubert N 10000 - Tm</t>
  </si>
  <si>
    <t>0.06.07.F</t>
  </si>
  <si>
    <t>0.06.08.F</t>
  </si>
  <si>
    <t>excav. a máq. p/obras de saneamientos</t>
  </si>
  <si>
    <t>relleno a máq.  p/obras de saneamientos</t>
  </si>
  <si>
    <t>hormigón simple 350 kg</t>
  </si>
  <si>
    <t>eq.100</t>
  </si>
  <si>
    <t>0.12.07.F</t>
  </si>
  <si>
    <t>0.18.26.F</t>
  </si>
  <si>
    <t>estr. de Hº Aº losa maciza e=15 cm Hº visto</t>
  </si>
  <si>
    <t>0.12.08.F</t>
  </si>
  <si>
    <t>estr. de Hº Aº vigas resist. Hº visto</t>
  </si>
  <si>
    <t>0.12.09.F</t>
  </si>
  <si>
    <t>estr. de Hº Aº columna resist. Hº visto</t>
  </si>
  <si>
    <t>inclinado Policarb. s/estruct. metal.</t>
  </si>
  <si>
    <t>0.99.11.F</t>
  </si>
  <si>
    <t>0.30.61.A</t>
  </si>
  <si>
    <t>mesada de granito natural c/bacha</t>
  </si>
  <si>
    <t>sa.295</t>
  </si>
  <si>
    <t>mesada granito natural nacional  e=2cm.</t>
  </si>
  <si>
    <t>mamp. de ladr. común visto c/armad y junta dilat</t>
  </si>
  <si>
    <t>mamp. de ladr. común visto c/armad. p/Escuela</t>
  </si>
  <si>
    <t>0.18.27.F</t>
  </si>
  <si>
    <t>suspendido termoacustico</t>
  </si>
  <si>
    <t>ai.016</t>
  </si>
  <si>
    <t>0.33.36.F</t>
  </si>
  <si>
    <t>ac.016</t>
  </si>
  <si>
    <t>acero en barras 10 mm</t>
  </si>
  <si>
    <t>tn</t>
  </si>
  <si>
    <t>ac.051</t>
  </si>
  <si>
    <t>clavos P.P. 2 1/2"</t>
  </si>
  <si>
    <t>ac.061</t>
  </si>
  <si>
    <t>alambre negro Nº16</t>
  </si>
  <si>
    <t>ac.071</t>
  </si>
  <si>
    <t>alambre galvaniz. 17/15</t>
  </si>
  <si>
    <t>ml</t>
  </si>
  <si>
    <t>ac.091</t>
  </si>
  <si>
    <t>ac.093</t>
  </si>
  <si>
    <t>acero p/pretens. Ø 7 mm</t>
  </si>
  <si>
    <t>ai.017</t>
  </si>
  <si>
    <t>microesfera de vidrio</t>
  </si>
  <si>
    <t>material de subbase tamaño máx=2"- vial</t>
  </si>
  <si>
    <t>ar.007</t>
  </si>
  <si>
    <t>arido p/base max 1 1/2"- vial</t>
  </si>
  <si>
    <t>material de subbase tamaño máx=11/2"-vial</t>
  </si>
  <si>
    <t>ar.009</t>
  </si>
  <si>
    <t>ar.010</t>
  </si>
  <si>
    <t>piedra bola</t>
  </si>
  <si>
    <t>eq.001'</t>
  </si>
  <si>
    <t>eq.031</t>
  </si>
  <si>
    <t>eq.041</t>
  </si>
  <si>
    <t>eq.055</t>
  </si>
  <si>
    <t>eq.062</t>
  </si>
  <si>
    <t>martillo neumático</t>
  </si>
  <si>
    <t>ARTEFACTO FLUORESCENTE 2x40 W COMPLETO</t>
  </si>
  <si>
    <t>sa.700</t>
  </si>
  <si>
    <t>Caño PRFV 700mm para Cloacas diám. Presión 1 bar</t>
  </si>
  <si>
    <t>cuerpo motorarg CFD 675/30  30H.P.</t>
  </si>
  <si>
    <t>ac.009</t>
  </si>
  <si>
    <t>hierro torsionado diam. 4,2mm</t>
  </si>
  <si>
    <t>ac.010</t>
  </si>
  <si>
    <t>hierro torsionado diam. 6mm</t>
  </si>
  <si>
    <t>ac.011</t>
  </si>
  <si>
    <t>hierro torsionado diam. 8mm</t>
  </si>
  <si>
    <t>ac.012</t>
  </si>
  <si>
    <t>hierro torsionado diam. 12mm</t>
  </si>
  <si>
    <t>ac.013</t>
  </si>
  <si>
    <t>hierro torsionado diam. 16mm</t>
  </si>
  <si>
    <t>ac.014</t>
  </si>
  <si>
    <t>hierro liso herrero de 10 mm.</t>
  </si>
  <si>
    <t>ac.029</t>
  </si>
  <si>
    <t>electrodos 2,5 mm</t>
  </si>
  <si>
    <t>ac.052</t>
  </si>
  <si>
    <t>Clavos P.P. 1"</t>
  </si>
  <si>
    <t>ac.053</t>
  </si>
  <si>
    <t>Clavos cabeza de plomo 3"</t>
  </si>
  <si>
    <t>ac.062</t>
  </si>
  <si>
    <t>alambre negro N°14</t>
  </si>
  <si>
    <t>ac.072</t>
  </si>
  <si>
    <t>Alambre Galvanizado N° 14</t>
  </si>
  <si>
    <t>ac.073</t>
  </si>
  <si>
    <t>Alambre tejido 2" x 2 mts 2"-200-10-14</t>
  </si>
  <si>
    <t>ac.092</t>
  </si>
  <si>
    <t>Tirafondo 6,5 mm x 3"</t>
  </si>
  <si>
    <t>ac.100</t>
  </si>
  <si>
    <t>Hierro torsionado diam. 20mm</t>
  </si>
  <si>
    <t>ac.101</t>
  </si>
  <si>
    <t>Hierro torsionado de 14mm</t>
  </si>
  <si>
    <t>ac.102</t>
  </si>
  <si>
    <t>Hierro liso herrero de 6 mm - 12 mts</t>
  </si>
  <si>
    <t>barra</t>
  </si>
  <si>
    <t>ac.103</t>
  </si>
  <si>
    <t>Hierro liso herrero de 8 mm - 12 mts</t>
  </si>
  <si>
    <t>ac.104</t>
  </si>
  <si>
    <t>Hierro liso herrero de 12 mm - 12 mts</t>
  </si>
  <si>
    <t>ac.105</t>
  </si>
  <si>
    <t>Hierro liso herrero de 16 mm - 12 mts</t>
  </si>
  <si>
    <t>ac.106</t>
  </si>
  <si>
    <t>Electrodos 3,25mm conarco punta azul</t>
  </si>
  <si>
    <t>ac.107</t>
  </si>
  <si>
    <t>Electrodos 3,25mm conarco punta naranja</t>
  </si>
  <si>
    <t>ac.108</t>
  </si>
  <si>
    <t>Planchuela 1"x3/16" x 6 mts</t>
  </si>
  <si>
    <t>ac.109</t>
  </si>
  <si>
    <t>Planchuela 1-1/4"x1/4" x 6 mts</t>
  </si>
  <si>
    <t>ac.110</t>
  </si>
  <si>
    <t>Planchuela 3/4"x1/8" x 6 mts</t>
  </si>
  <si>
    <t>ac.111</t>
  </si>
  <si>
    <t>Gancho "J" p/chapa galvanizada    de 60mm</t>
  </si>
  <si>
    <t>ac.118</t>
  </si>
  <si>
    <t>Caño estructural redondo 2 - 1/2"x1,6 x 6 m</t>
  </si>
  <si>
    <t>ac.119</t>
  </si>
  <si>
    <t>Hierro Angulo 3/4 x 1/8 x 6m</t>
  </si>
  <si>
    <t>ac.120</t>
  </si>
  <si>
    <t>Hierro Angulo 2 x 3/16 x 6m</t>
  </si>
  <si>
    <t>ac.121</t>
  </si>
  <si>
    <t>Hierro Angulo 1-1/2 x 3/16 x 6m</t>
  </si>
  <si>
    <t>ac.122</t>
  </si>
  <si>
    <t>Planchuela 1/2"x3/16" x 6 mts</t>
  </si>
  <si>
    <t>ac.123</t>
  </si>
  <si>
    <t>Planchuela 1-1/4"x1/8" x 6 mts</t>
  </si>
  <si>
    <t>ac.124</t>
  </si>
  <si>
    <t>Planchuela 1"x1/8" x 6 mts</t>
  </si>
  <si>
    <t>ac.125</t>
  </si>
  <si>
    <t>Planchuela 1-1/2"x3/16" x 6 mts</t>
  </si>
  <si>
    <t>ac.200</t>
  </si>
  <si>
    <t>Tornillos T1 x 100</t>
  </si>
  <si>
    <t>ac.201</t>
  </si>
  <si>
    <t>Tornillos T2 x 100</t>
  </si>
  <si>
    <t>ac.500</t>
  </si>
  <si>
    <t>Malla SIMA Q - 55 25x25</t>
  </si>
  <si>
    <t>Adoquin 10x10 Esf.4/7 Color gris o mixto (110kg por m2)</t>
  </si>
  <si>
    <t>ai.002</t>
  </si>
  <si>
    <t>Membrana s/aluminio 4 mm espesor</t>
  </si>
  <si>
    <t>Esmalte asfáltico (asfalto líquido en tacho de 4 litros)</t>
  </si>
  <si>
    <t>ai.004</t>
  </si>
  <si>
    <t>Hidrófugo Cerecita Iggam</t>
  </si>
  <si>
    <t>ai.005</t>
  </si>
  <si>
    <t>Membrana b/tejas c/aislac. térmica TBA5</t>
  </si>
  <si>
    <t>Membrana c/aluminio 4mm - 10m (A partir de 07/06)</t>
  </si>
  <si>
    <t>ai.010</t>
  </si>
  <si>
    <t>ai.018</t>
  </si>
  <si>
    <t>Telgopor 10 mm</t>
  </si>
  <si>
    <t>ai.055</t>
  </si>
  <si>
    <t>Ladrillo telgopor h=12cm, largo=1m, ancho=42cm</t>
  </si>
  <si>
    <t>corregido</t>
  </si>
  <si>
    <t>ai.060</t>
  </si>
  <si>
    <t>Burlete esponjoso 4x10 (50m)</t>
  </si>
  <si>
    <t>ar.012</t>
  </si>
  <si>
    <t>Ripio Lavado 1/2</t>
  </si>
  <si>
    <t>ar.013</t>
  </si>
  <si>
    <t>Arena Fina</t>
  </si>
  <si>
    <t>az.001</t>
  </si>
  <si>
    <t>Azulejo 15x15 blanco</t>
  </si>
  <si>
    <t>bl.004</t>
  </si>
  <si>
    <t>bloque de H° de 15x20x40</t>
  </si>
  <si>
    <t>bl.005</t>
  </si>
  <si>
    <t>Viguetas pretensadas 3.80 m.</t>
  </si>
  <si>
    <t>bl.006</t>
  </si>
  <si>
    <t>Viguetas pretensadas 4.00 m.</t>
  </si>
  <si>
    <t>bz.001</t>
  </si>
  <si>
    <t>Baldosa a prensa Esf.3/6 Color gris Ancho 15x largo libre</t>
  </si>
  <si>
    <t>bz.002</t>
  </si>
  <si>
    <t>Baldosa a disco 15 x largo libre Esf.3/6 Color gris (110kg x m2)</t>
  </si>
  <si>
    <t>ca.013</t>
  </si>
  <si>
    <t>Ventana 2 H. abrir c/mco.met. 1,20x1,10 y celosía metálica BWG 20</t>
  </si>
  <si>
    <t>ca.102</t>
  </si>
  <si>
    <t>Ventana 2 H. abrir c/mco.met. 1,20x1,50 y celosía metálica BWG 20</t>
  </si>
  <si>
    <t>ca.103</t>
  </si>
  <si>
    <t>Ventana 2 H. abrir c/mco.met. 1,20x1,10 y celosía tablilla de madera</t>
  </si>
  <si>
    <t>ca.104</t>
  </si>
  <si>
    <t>Ventana 2 H. abrir c/mco.met. 1,20x1,50 y celosía tablilla de madera</t>
  </si>
  <si>
    <t>ca.107</t>
  </si>
  <si>
    <t>Ventana 0.60x0.80 paño fijo inf. y aereador alum 3 aletas c/reja c.est</t>
  </si>
  <si>
    <t>ca.108</t>
  </si>
  <si>
    <t>Ventiluz 1.116x0.30 c/dos aereadores alum. De 5 aletas c/reja c.est.</t>
  </si>
  <si>
    <t>ca.109</t>
  </si>
  <si>
    <t>P1 Alt. Puerta de 0.90x2.05 marco N°18 P/75mm hoja bastidor</t>
  </si>
  <si>
    <t>ca.110</t>
  </si>
  <si>
    <t>P1 marco 0.90x2.05 N° 18 P/75mm</t>
  </si>
  <si>
    <t>ca.111</t>
  </si>
  <si>
    <t>P2 marco 0.80x2.05 N° 18 P/75mm</t>
  </si>
  <si>
    <t>ca.112</t>
  </si>
  <si>
    <t>P3 marco 0.70x2.05 N° 18 P/75mm</t>
  </si>
  <si>
    <t>ca.113</t>
  </si>
  <si>
    <t>P4 marco 0.90x2.05 N° 18 P/65mm hoja c/bastonado inf. y p.fijo c/r</t>
  </si>
  <si>
    <t>ca.114</t>
  </si>
  <si>
    <t>Puerta Blindex de 10mm de 93x215 incolora,templada con herrajes</t>
  </si>
  <si>
    <t>ch.030</t>
  </si>
  <si>
    <t>Chapa lisa galvanizada Nº 24 de 1,22x2,44</t>
  </si>
  <si>
    <t>ch.031</t>
  </si>
  <si>
    <t>Chapa lisa galvanizada Nº 27 de 1,22x2,45</t>
  </si>
  <si>
    <t>ch.032</t>
  </si>
  <si>
    <t>Chapa galvanizada Nº 27 x 1,10</t>
  </si>
  <si>
    <t>pie</t>
  </si>
  <si>
    <t>ch.033</t>
  </si>
  <si>
    <t>Chapa de hierro N°28 DD de 1 x 2 m.</t>
  </si>
  <si>
    <t>ch.035</t>
  </si>
  <si>
    <t>Chapa decorada  Nº  20      2  x 1m</t>
  </si>
  <si>
    <t>ch.036</t>
  </si>
  <si>
    <t>Chapa Nº  27 de 8 pie x 1,10 m</t>
  </si>
  <si>
    <t>ch.037</t>
  </si>
  <si>
    <t>Chapa Nº  27 de 25 pie x 1,10 m</t>
  </si>
  <si>
    <t>ch.038</t>
  </si>
  <si>
    <t>Chapa Nº  27 de 15 pie x 1,10 m</t>
  </si>
  <si>
    <t>ch.039</t>
  </si>
  <si>
    <t>Chapa Nº  27 de 14 pie x 1,10 m</t>
  </si>
  <si>
    <t>ch.040</t>
  </si>
  <si>
    <t>Chapa galvanizada Nº 24 x 1,10</t>
  </si>
  <si>
    <t>el.009</t>
  </si>
  <si>
    <t>el.011</t>
  </si>
  <si>
    <t>pilar Hº premol. de luz simple p/med. trifas.</t>
  </si>
  <si>
    <t>el.020</t>
  </si>
  <si>
    <t>el.021</t>
  </si>
  <si>
    <t>el.022</t>
  </si>
  <si>
    <t>el.023</t>
  </si>
  <si>
    <t>el.024</t>
  </si>
  <si>
    <t>el.025</t>
  </si>
  <si>
    <t>el.026</t>
  </si>
  <si>
    <t>cable cobre desnudo 1 x 6 mm2</t>
  </si>
  <si>
    <t>el.027</t>
  </si>
  <si>
    <t>el.028</t>
  </si>
  <si>
    <t>Cable Flex Cu 7 x 0,5 (verde - amarillo)</t>
  </si>
  <si>
    <t>el.029</t>
  </si>
  <si>
    <t>Cable Flex Cu 7 x 0,85 (verde - amarillo)</t>
  </si>
  <si>
    <t>el.057</t>
  </si>
  <si>
    <t>el.058</t>
  </si>
  <si>
    <t>el.059</t>
  </si>
  <si>
    <t>el.060</t>
  </si>
  <si>
    <t>el.061</t>
  </si>
  <si>
    <t>el.062</t>
  </si>
  <si>
    <t>el.071</t>
  </si>
  <si>
    <t>el.072</t>
  </si>
  <si>
    <t>el.073</t>
  </si>
  <si>
    <t>el.075</t>
  </si>
  <si>
    <t>el.076</t>
  </si>
  <si>
    <t>el.080</t>
  </si>
  <si>
    <t>el.100</t>
  </si>
  <si>
    <t>el.101</t>
  </si>
  <si>
    <t>el.102</t>
  </si>
  <si>
    <t>el.103</t>
  </si>
  <si>
    <t>el.104</t>
  </si>
  <si>
    <t>el.105</t>
  </si>
  <si>
    <t>el.107</t>
  </si>
  <si>
    <t>el.108</t>
  </si>
  <si>
    <t>el.109</t>
  </si>
  <si>
    <t>el.110</t>
  </si>
  <si>
    <t>el.111</t>
  </si>
  <si>
    <t>el.112</t>
  </si>
  <si>
    <t>el.113</t>
  </si>
  <si>
    <t>el.114</t>
  </si>
  <si>
    <t>el.115</t>
  </si>
  <si>
    <t>el.149</t>
  </si>
  <si>
    <t>el.150</t>
  </si>
  <si>
    <t>el.151</t>
  </si>
  <si>
    <t>el.152</t>
  </si>
  <si>
    <t>el.159</t>
  </si>
  <si>
    <t>el.160a</t>
  </si>
  <si>
    <t>el.164</t>
  </si>
  <si>
    <t>el.165</t>
  </si>
  <si>
    <t>el.166</t>
  </si>
  <si>
    <t>el.168</t>
  </si>
  <si>
    <t>el.170</t>
  </si>
  <si>
    <t>el.171</t>
  </si>
  <si>
    <t>Caño flexible Ref. naranja 3/4"</t>
  </si>
  <si>
    <t>el.172</t>
  </si>
  <si>
    <t>el.173'</t>
  </si>
  <si>
    <t>Tubo fluorescente 40 w</t>
  </si>
  <si>
    <t>Tanque acoplado 10000 litros (A partir de 05/06)</t>
  </si>
  <si>
    <t>eq.001</t>
  </si>
  <si>
    <t>Camión Ford 14000 Diesel</t>
  </si>
  <si>
    <t>eq.002</t>
  </si>
  <si>
    <t>Equipo volquete BACO 7 m3</t>
  </si>
  <si>
    <t>eq.026</t>
  </si>
  <si>
    <t>Aserradora pavimento 8 H.P.</t>
  </si>
  <si>
    <t>eq.028</t>
  </si>
  <si>
    <t>Bomba a explosión 5 H. P.</t>
  </si>
  <si>
    <t>eq.030b</t>
  </si>
  <si>
    <t>Acoplado Volcador Bilateral s/cubiertas (A partir de 06/05)</t>
  </si>
  <si>
    <t>eq.044</t>
  </si>
  <si>
    <t>Regla vibradora 8 H.P.</t>
  </si>
  <si>
    <t>eq.058</t>
  </si>
  <si>
    <t>Tractor engomado 100 H.P.</t>
  </si>
  <si>
    <t>eq.060</t>
  </si>
  <si>
    <t>Vibrador inmersión a nafta 4 H.P.</t>
  </si>
  <si>
    <t>eq.066</t>
  </si>
  <si>
    <t>eq.070</t>
  </si>
  <si>
    <t>eq.072</t>
  </si>
  <si>
    <t>Equipo regador de asfalto cap 5000 lt</t>
  </si>
  <si>
    <t>eq.074</t>
  </si>
  <si>
    <t>eq.082b</t>
  </si>
  <si>
    <t>Rastra de disco Terramec</t>
  </si>
  <si>
    <t>Vibrador de placa Waker BPS</t>
  </si>
  <si>
    <t>eq.088b</t>
  </si>
  <si>
    <t>Planta de asfalto 80 Tn/h c/filtro de manga Modelo UACF 15 P-1</t>
  </si>
  <si>
    <t>eq.090b</t>
  </si>
  <si>
    <t>Grúa hidráulica Amco Veba</t>
  </si>
  <si>
    <t>eq.102b</t>
  </si>
  <si>
    <t>Terminadora de asfalto CIBER Modelo AF 5000</t>
  </si>
  <si>
    <t>eq.116</t>
  </si>
  <si>
    <t>Excavadora s/oruga 138HP 1,4 m3 c/zap 700mm CAT 320 CL</t>
  </si>
  <si>
    <t>eq.120</t>
  </si>
  <si>
    <t>Manguera c/acople</t>
  </si>
  <si>
    <t>eq.121</t>
  </si>
  <si>
    <t>Punta exagonal</t>
  </si>
  <si>
    <t>eq.122</t>
  </si>
  <si>
    <t>Martillo neumatico CETEC  incompleto</t>
  </si>
  <si>
    <t>eq.201</t>
  </si>
  <si>
    <t>Nafta común</t>
  </si>
  <si>
    <t>eq.300</t>
  </si>
  <si>
    <t>Gasoil a granel</t>
  </si>
  <si>
    <t>eq.901</t>
  </si>
  <si>
    <t>Compactador Asfalto doble rodillo CAT CB434 D - 83 Hp</t>
  </si>
  <si>
    <t>eq.902</t>
  </si>
  <si>
    <t>Topadora CAT D6R Serie III - 185 Hp - Hoja 6SU - Ripper multivastago</t>
  </si>
  <si>
    <t>eq.976</t>
  </si>
  <si>
    <t>Vibrocompactador s/neumático Pata de cabra 145HP CAT CP 533E</t>
  </si>
  <si>
    <t>fl.001</t>
  </si>
  <si>
    <t>Flete Pto. Madryn a Salta (por camion completo 28 Ton)</t>
  </si>
  <si>
    <t>fo.030</t>
  </si>
  <si>
    <t>semilla cesped mezcla</t>
  </si>
  <si>
    <t>fo.035</t>
  </si>
  <si>
    <t>Lapacho x 2,20 mts</t>
  </si>
  <si>
    <t>fo.040</t>
  </si>
  <si>
    <t>Ligustrus Aurius x 2.20 mts</t>
  </si>
  <si>
    <t>ga.006</t>
  </si>
  <si>
    <t>malla advertencia gas x 300 mm</t>
  </si>
  <si>
    <t>ga.007</t>
  </si>
  <si>
    <t>polyguard 5 cm x 25 m</t>
  </si>
  <si>
    <t>ga.009</t>
  </si>
  <si>
    <t>curva articulada chapa diametro 100 mm</t>
  </si>
  <si>
    <t>ga.012</t>
  </si>
  <si>
    <t>Caño de chapa galvanizada D=150mm ch30</t>
  </si>
  <si>
    <t>ga.151</t>
  </si>
  <si>
    <t>caño extruido 25 mm</t>
  </si>
  <si>
    <t>codo epoxi 25 mm</t>
  </si>
  <si>
    <t>ga.163</t>
  </si>
  <si>
    <t>CAÑO DE HOJALATA DE 100*1 MT (COM.MIT)</t>
  </si>
  <si>
    <t>CODOS HH 90° EPOXI 3/4"</t>
  </si>
  <si>
    <t>tee epoxi 13 mm</t>
  </si>
  <si>
    <t>tee epoxi 19 mm</t>
  </si>
  <si>
    <t>tee epoxi 25 mm</t>
  </si>
  <si>
    <t>ga.173</t>
  </si>
  <si>
    <t>PEGAMENTO P/POLYGUARD 1 LITRO</t>
  </si>
  <si>
    <t>ga.190</t>
  </si>
  <si>
    <t>union doble conica epoxi 3/4"</t>
  </si>
  <si>
    <t>ga.191</t>
  </si>
  <si>
    <t>union doble conica epoxi 1/2"</t>
  </si>
  <si>
    <t>ga.195</t>
  </si>
  <si>
    <t>niple epoxi x 8 cm 1/2"</t>
  </si>
  <si>
    <t>ga.205</t>
  </si>
  <si>
    <t>Tubo pemd gas SDR 11 4 bar D= 25mm</t>
  </si>
  <si>
    <t>ga.206</t>
  </si>
  <si>
    <t>Tubo pemd gas SDR 11 4 bar D= 50mm</t>
  </si>
  <si>
    <t>ga.207</t>
  </si>
  <si>
    <t>Tubo pemd gas SDR 11 4 bar D= 63mm</t>
  </si>
  <si>
    <t>ga.208</t>
  </si>
  <si>
    <t>Tubo pemd gas SDR 11 4 bar D= 90mm</t>
  </si>
  <si>
    <t>ga.209</t>
  </si>
  <si>
    <t>Malla de advertencia  A= 150mm</t>
  </si>
  <si>
    <t>ga.210</t>
  </si>
  <si>
    <t>Malla de advertencia A= 300mm</t>
  </si>
  <si>
    <t>ga.211</t>
  </si>
  <si>
    <t>Cupla poliet. E/F 25mm media densidad</t>
  </si>
  <si>
    <t>ga.212</t>
  </si>
  <si>
    <t>Tee normal PE E/F 50MMA</t>
  </si>
  <si>
    <t>ga.213</t>
  </si>
  <si>
    <t>Válvula servicio PE E/F 63x25</t>
  </si>
  <si>
    <t>ga.214</t>
  </si>
  <si>
    <t>Codo 90º PE E/F 90mm</t>
  </si>
  <si>
    <t>ga.215</t>
  </si>
  <si>
    <t>Vaina PVC curva L 640mm</t>
  </si>
  <si>
    <t>ga.216</t>
  </si>
  <si>
    <t>Vaina PVC recta L 320mm</t>
  </si>
  <si>
    <t>ga.217</t>
  </si>
  <si>
    <t>Gripper p/gabinete 3/4 x 25mm</t>
  </si>
  <si>
    <t>gajo.161</t>
  </si>
  <si>
    <t>her.012</t>
  </si>
  <si>
    <t>Dobladora de hierro 12mm (Grinfa)</t>
  </si>
  <si>
    <t>her.013</t>
  </si>
  <si>
    <t>Dobladora de hierro 20mm (Grinfa)</t>
  </si>
  <si>
    <t>la.003</t>
  </si>
  <si>
    <t>ladrillo común de 2da.calidad</t>
  </si>
  <si>
    <t>la.007</t>
  </si>
  <si>
    <t>ladrillo hueco portante 12x18x30</t>
  </si>
  <si>
    <t>la.011</t>
  </si>
  <si>
    <t>bovedilla cerámica para viguetas 9,5x40x25</t>
  </si>
  <si>
    <t>la.012</t>
  </si>
  <si>
    <t>bovedilla ceramica para viguetas 16,5x40x25</t>
  </si>
  <si>
    <t>la.014</t>
  </si>
  <si>
    <t>Ladrillo seleccionado de 1ra.</t>
  </si>
  <si>
    <t>la.020</t>
  </si>
  <si>
    <t>Ladrillo semivisto</t>
  </si>
  <si>
    <t>la.021</t>
  </si>
  <si>
    <t>Ladrillones de 20 comunes</t>
  </si>
  <si>
    <t>la.023</t>
  </si>
  <si>
    <t>Ladrillos fundidos</t>
  </si>
  <si>
    <t>li.002</t>
  </si>
  <si>
    <t>pastina p/ceramicos blanca</t>
  </si>
  <si>
    <t>li.003</t>
  </si>
  <si>
    <t>Pastina p/ceramicos color</t>
  </si>
  <si>
    <t>li.010</t>
  </si>
  <si>
    <t>ferrite rojo</t>
  </si>
  <si>
    <t>li.015</t>
  </si>
  <si>
    <t>Plastificante x 1,5 lts.</t>
  </si>
  <si>
    <t>li.100</t>
  </si>
  <si>
    <t>Cal viva 10 kg</t>
  </si>
  <si>
    <t>ma.050</t>
  </si>
  <si>
    <t>Hoja en melamina color blanco base aglomerado 18 mm</t>
  </si>
  <si>
    <t>ma.051</t>
  </si>
  <si>
    <t>Hoja fibrofacil 12 mm  (1,83 x 2,60)</t>
  </si>
  <si>
    <t>ma.052</t>
  </si>
  <si>
    <t>ma.053</t>
  </si>
  <si>
    <t>Preencolado blanco</t>
  </si>
  <si>
    <t>pb.070</t>
  </si>
  <si>
    <t>Equipo de bombeo MOTORARG Modelo 625/7,5(BOMBA+MOTOR)</t>
  </si>
  <si>
    <t>pb.080</t>
  </si>
  <si>
    <t>Tablero de arranque suave 7,5 HP</t>
  </si>
  <si>
    <t>pb.090</t>
  </si>
  <si>
    <t>Tablero suave Std. 30HP 380v</t>
  </si>
  <si>
    <t>pb.140</t>
  </si>
  <si>
    <t>Bomba impulsora de agua 3/4 HP</t>
  </si>
  <si>
    <t>pi.002</t>
  </si>
  <si>
    <t>aceite de lino cocido 18l</t>
  </si>
  <si>
    <t>pi.004</t>
  </si>
  <si>
    <t>fondo p/chapa galvanizada tipo Galvite</t>
  </si>
  <si>
    <t>pi.006</t>
  </si>
  <si>
    <t xml:space="preserve">antióxido al cromato </t>
  </si>
  <si>
    <t>pi.011</t>
  </si>
  <si>
    <t>esmalte sintetico verde x 4 lts</t>
  </si>
  <si>
    <t>pi.012</t>
  </si>
  <si>
    <t>pintura epoxi amarillo</t>
  </si>
  <si>
    <t>pi.015</t>
  </si>
  <si>
    <t>pintura al latex acrilico p/cielorrasos</t>
  </si>
  <si>
    <t>pi.017</t>
  </si>
  <si>
    <t>latex p/canchas</t>
  </si>
  <si>
    <t>pi.034</t>
  </si>
  <si>
    <t>Esmalte sintetico  negro 4l</t>
  </si>
  <si>
    <t>pi.035</t>
  </si>
  <si>
    <t>Viruta de Acero fina 300 gr</t>
  </si>
  <si>
    <t>pi.037</t>
  </si>
  <si>
    <t>Pincel de cerda serie 331 N° 30</t>
  </si>
  <si>
    <t>pi.038</t>
  </si>
  <si>
    <t>Pinceleta de cerda serie 331 N° 40</t>
  </si>
  <si>
    <t>pi.039</t>
  </si>
  <si>
    <t>Pico Hexagonal lluvia gruesa p/ pulverizar</t>
  </si>
  <si>
    <t>pi.040</t>
  </si>
  <si>
    <t>Cuero grande para pulverizador</t>
  </si>
  <si>
    <t>pi.041</t>
  </si>
  <si>
    <t>Latex para piletas</t>
  </si>
  <si>
    <t>pi.042</t>
  </si>
  <si>
    <t>Pintura al latex - lata 20 lts, interior</t>
  </si>
  <si>
    <t>pi.043</t>
  </si>
  <si>
    <t>Pintura al aceite 4lts blanco Satinado</t>
  </si>
  <si>
    <t>pi.044</t>
  </si>
  <si>
    <t>Pintura al aceite 4lts negro Satinado</t>
  </si>
  <si>
    <t>pre.040</t>
  </si>
  <si>
    <t>pileta de lavar H° premold. 70x55x30 s/ patas</t>
  </si>
  <si>
    <t>pre.050</t>
  </si>
  <si>
    <t>camara de inspec. premol. compl. 60x60x60</t>
  </si>
  <si>
    <t>pre.055</t>
  </si>
  <si>
    <t>camara septica premol. 540 lts completa</t>
  </si>
  <si>
    <t>pre.100</t>
  </si>
  <si>
    <t>Caño de Hº Comprimido Diám. 1m, Largo Util 1,20m,Peso 1100kg/caño</t>
  </si>
  <si>
    <t>ra.025</t>
  </si>
  <si>
    <t>Caño Pead Agua 90mm</t>
  </si>
  <si>
    <t>ra.026</t>
  </si>
  <si>
    <t>Caño Pead Agua 110mm</t>
  </si>
  <si>
    <t>ra.027</t>
  </si>
  <si>
    <t>Caño Pead Agua 160mm</t>
  </si>
  <si>
    <t>ra.029</t>
  </si>
  <si>
    <t>Caño Pead Agua 225mm</t>
  </si>
  <si>
    <t>ra.037</t>
  </si>
  <si>
    <t>abrazadera diám. 63mm con racord de 3/4"</t>
  </si>
  <si>
    <t>ra.100</t>
  </si>
  <si>
    <t>Tubo perfilado Hidropipe Diám. 400</t>
  </si>
  <si>
    <t>ra.101</t>
  </si>
  <si>
    <t>Tubo perfilado Hidropipe Diám. 520</t>
  </si>
  <si>
    <t>ra.102</t>
  </si>
  <si>
    <t>Tubo perfilado Hidropipe Diám. 700</t>
  </si>
  <si>
    <t>ra.103</t>
  </si>
  <si>
    <t>Tubo perfilado Hidropipe Diám. 870</t>
  </si>
  <si>
    <t>ra.104</t>
  </si>
  <si>
    <t>Tubo perfilado Hidropipe Diám. 1100</t>
  </si>
  <si>
    <t>ra.105</t>
  </si>
  <si>
    <t>Tubo perfilado Hidropipe Diám. 1250</t>
  </si>
  <si>
    <t>re.025</t>
  </si>
  <si>
    <t>re.026</t>
  </si>
  <si>
    <t>Poste eucaliptus p/redes elect. De baja tensión(7,5 m) s/normas EDESA</t>
  </si>
  <si>
    <t>re.030</t>
  </si>
  <si>
    <t>re.035</t>
  </si>
  <si>
    <t>re.040</t>
  </si>
  <si>
    <t>re.043</t>
  </si>
  <si>
    <t>re.045</t>
  </si>
  <si>
    <t>re.050</t>
  </si>
  <si>
    <t>re.055</t>
  </si>
  <si>
    <t>re.070</t>
  </si>
  <si>
    <t>re.075</t>
  </si>
  <si>
    <t>re.080</t>
  </si>
  <si>
    <t>re.090</t>
  </si>
  <si>
    <t>re.095</t>
  </si>
  <si>
    <t>Gabinete estanco PVC 600x600x225 c/cerrad. AºPº</t>
  </si>
  <si>
    <t>re.100</t>
  </si>
  <si>
    <t>re.105</t>
  </si>
  <si>
    <t>re.115</t>
  </si>
  <si>
    <t>Morsa de retención PKR 10</t>
  </si>
  <si>
    <t>Te normal E/F 63</t>
  </si>
  <si>
    <t>Alas terminales</t>
  </si>
  <si>
    <t>Equipo p/laboratorio y oficina</t>
  </si>
  <si>
    <t>Agregado zarand. Pétreo triturado  vial</t>
  </si>
  <si>
    <t>sa.003</t>
  </si>
  <si>
    <t>sopapa PVC diametro 50 mm recta cromada</t>
  </si>
  <si>
    <t>sa.004</t>
  </si>
  <si>
    <t>sopapa PVC diametro 40 mm p/ducha</t>
  </si>
  <si>
    <t>sa.005</t>
  </si>
  <si>
    <t>curva PVC 90° 110 mm</t>
  </si>
  <si>
    <t>sa.006</t>
  </si>
  <si>
    <t>ramal T PVC 110x110</t>
  </si>
  <si>
    <t>sa.007</t>
  </si>
  <si>
    <t>curva PVC 45° diam. 50 mm</t>
  </si>
  <si>
    <t>sa.008</t>
  </si>
  <si>
    <t>codo PVC a 90° diam. 50 mm</t>
  </si>
  <si>
    <t>sa.009</t>
  </si>
  <si>
    <t>codo PVC a 90° diam. 40 mm</t>
  </si>
  <si>
    <t>sa.010</t>
  </si>
  <si>
    <t>codo PVC a 45° diam. 40 mm</t>
  </si>
  <si>
    <t>sa.011</t>
  </si>
  <si>
    <t>codo PVC a 90° 2.2 diam. 100 mm</t>
  </si>
  <si>
    <t>sa.012</t>
  </si>
  <si>
    <t>sombrerete PVC diam. 100 mm</t>
  </si>
  <si>
    <t>sa.014</t>
  </si>
  <si>
    <t>boca acceso PVC p/cocina</t>
  </si>
  <si>
    <t>sa.015</t>
  </si>
  <si>
    <t>Bacha simple acero inox. 52 x 32x18</t>
  </si>
  <si>
    <t>sa.016</t>
  </si>
  <si>
    <t>deposito p/mingitorio PVC 12 lts</t>
  </si>
  <si>
    <t>sa.017</t>
  </si>
  <si>
    <t>mingitorio losa blanco</t>
  </si>
  <si>
    <t>sa.018</t>
  </si>
  <si>
    <t xml:space="preserve">bidet losa </t>
  </si>
  <si>
    <t>sa.019</t>
  </si>
  <si>
    <t>lavatorio 3 agujeros mediano de colgar</t>
  </si>
  <si>
    <t>sa.025</t>
  </si>
  <si>
    <t>portarrollo losa embutir blanco</t>
  </si>
  <si>
    <t>sa.026</t>
  </si>
  <si>
    <t>jabonera 7,5x15 embutir blanca</t>
  </si>
  <si>
    <t>sa.027</t>
  </si>
  <si>
    <t>jabonera 15x15 embutir blanca</t>
  </si>
  <si>
    <t>sa.028</t>
  </si>
  <si>
    <t>jabonera 15x15 c/agarradera emb. Blanca</t>
  </si>
  <si>
    <t>sa.029</t>
  </si>
  <si>
    <t>toallero integral embutir</t>
  </si>
  <si>
    <t>sa.030</t>
  </si>
  <si>
    <t>perchero simple embutir</t>
  </si>
  <si>
    <t>sa.031</t>
  </si>
  <si>
    <t>reduccion PVC 3.2 63 x 50 mm</t>
  </si>
  <si>
    <t>sa.059</t>
  </si>
  <si>
    <t>adhesivo p/cañeria de PVC</t>
  </si>
  <si>
    <t>sa.060</t>
  </si>
  <si>
    <t>caño polietileno K10 13 mm</t>
  </si>
  <si>
    <t>sa.061</t>
  </si>
  <si>
    <t>caño polietileno K10 19 mm</t>
  </si>
  <si>
    <t>sa.070</t>
  </si>
  <si>
    <t>caño H-3 tricapa 13 mm</t>
  </si>
  <si>
    <t>sa.086</t>
  </si>
  <si>
    <t>caño PVC 2.2 p/ventil. diam. 100mm x 3m</t>
  </si>
  <si>
    <t>sa.087</t>
  </si>
  <si>
    <t>caño PVC 3.2 p/desague cloacal 0.040 x 4 m.</t>
  </si>
  <si>
    <t>sa.088</t>
  </si>
  <si>
    <t>caño PVC 3.2 p/desague cloacal 0.050 x 4 m.</t>
  </si>
  <si>
    <t>sa.107</t>
  </si>
  <si>
    <t>codo IPS 13 mm</t>
  </si>
  <si>
    <t>sa.109</t>
  </si>
  <si>
    <t>codo IPS 25 mm</t>
  </si>
  <si>
    <t>sa.139</t>
  </si>
  <si>
    <t>grampa sujeccion lavatorio</t>
  </si>
  <si>
    <t>sa.140</t>
  </si>
  <si>
    <t>tornillo bronce p/inodoro</t>
  </si>
  <si>
    <t>sa.145</t>
  </si>
  <si>
    <t>tapa ciega boca acceso cocina bce.</t>
  </si>
  <si>
    <t>sa.150</t>
  </si>
  <si>
    <t>rejilla bronce 15x15 c/marco</t>
  </si>
  <si>
    <t>sa.190</t>
  </si>
  <si>
    <t>union doble conica IPS 3/4"</t>
  </si>
  <si>
    <t>sa.201</t>
  </si>
  <si>
    <t>tee IPS 13 mm</t>
  </si>
  <si>
    <t>sa.202</t>
  </si>
  <si>
    <t>tee IPS 25 mm</t>
  </si>
  <si>
    <t>sa.235</t>
  </si>
  <si>
    <t>chicote flexible PVC 35 cm</t>
  </si>
  <si>
    <t>sa.236</t>
  </si>
  <si>
    <t>juego lavatorio c/pico mezclador Cr.Y</t>
  </si>
  <si>
    <t>sa.237</t>
  </si>
  <si>
    <t>juego bidet Cr. Y</t>
  </si>
  <si>
    <t>sa.238</t>
  </si>
  <si>
    <t>juego cocina pico movil embutir/mesada CrY</t>
  </si>
  <si>
    <t>sa.243</t>
  </si>
  <si>
    <t>llave de paso de bronce 0.013</t>
  </si>
  <si>
    <t>sa.248</t>
  </si>
  <si>
    <t>llave maestra bronce 1/2"</t>
  </si>
  <si>
    <t>sa.249</t>
  </si>
  <si>
    <t>llave maestra bronce 3/4"</t>
  </si>
  <si>
    <t>sa.265</t>
  </si>
  <si>
    <t>reja hierro fundido 20x20 c/marco</t>
  </si>
  <si>
    <t>sa.271</t>
  </si>
  <si>
    <t>canilla bronce riego c/manga 3/4" ref.</t>
  </si>
  <si>
    <t>sa.283</t>
  </si>
  <si>
    <t>conexión p/tanque 3/4" completo</t>
  </si>
  <si>
    <t>Flotante completo para tanque 1/2" Alta presión</t>
  </si>
  <si>
    <t>sa.287</t>
  </si>
  <si>
    <t>llave de limpieza bronce 3/4"</t>
  </si>
  <si>
    <t>sa.288</t>
  </si>
  <si>
    <t>ventilacion p/tanque PVC 1"</t>
  </si>
  <si>
    <t>sa.292</t>
  </si>
  <si>
    <t>Mesada granito reconst. gris e= 4 cm.</t>
  </si>
  <si>
    <t>sa.293</t>
  </si>
  <si>
    <t>Mesada granito reconst. Negro  e=4cm.</t>
  </si>
  <si>
    <t>sa.296</t>
  </si>
  <si>
    <t>Mármoles Importados Granit. e=2cm Brasil</t>
  </si>
  <si>
    <t>sa.297</t>
  </si>
  <si>
    <t>Mármol de Carrara</t>
  </si>
  <si>
    <t>sa.298</t>
  </si>
  <si>
    <t>Pulido de mosaicos</t>
  </si>
  <si>
    <t>sa.299</t>
  </si>
  <si>
    <t>Mesada granito reconst. Blanca e=4cm.</t>
  </si>
  <si>
    <t>sa.350</t>
  </si>
  <si>
    <t>Jabonera blanco adhesivo s/pegamento</t>
  </si>
  <si>
    <t>sa.351</t>
  </si>
  <si>
    <t>Portavaso blanco adhesivo s/pegamento</t>
  </si>
  <si>
    <t>sa.900</t>
  </si>
  <si>
    <t>so.005</t>
  </si>
  <si>
    <t>Mosaico granítico 30x30 claro</t>
  </si>
  <si>
    <t>so.006</t>
  </si>
  <si>
    <t>mosaico calcareo gris</t>
  </si>
  <si>
    <t>so.009</t>
  </si>
  <si>
    <t>Baldosa roja 20x20 tipo azotea</t>
  </si>
  <si>
    <t>so.010</t>
  </si>
  <si>
    <t>Zócalo granítico claro 10x30</t>
  </si>
  <si>
    <t>so.011</t>
  </si>
  <si>
    <t>Zócalo granítico gris 10 x 30</t>
  </si>
  <si>
    <t>so.012</t>
  </si>
  <si>
    <t>Zócalo calcareo amarillo o rojo</t>
  </si>
  <si>
    <t>so.013</t>
  </si>
  <si>
    <t>zocalo calcareo gris</t>
  </si>
  <si>
    <t>so.014</t>
  </si>
  <si>
    <t>Zócalo línea color negro o rojo</t>
  </si>
  <si>
    <t>so.015</t>
  </si>
  <si>
    <t>Mosaico granítico línea color rojo o negro</t>
  </si>
  <si>
    <t>so.030</t>
  </si>
  <si>
    <t>Cerámico esmaltado 20x20</t>
  </si>
  <si>
    <t>vi.006</t>
  </si>
  <si>
    <t>vidrio transparente 6 mm</t>
  </si>
  <si>
    <t>vi.007</t>
  </si>
  <si>
    <t>vidrio armado</t>
  </si>
  <si>
    <t>vi.008</t>
  </si>
  <si>
    <t>blindex 10 mm</t>
  </si>
  <si>
    <t>eq.054b</t>
  </si>
  <si>
    <t>tanque de reserva 600 lts. PVC tricapa</t>
  </si>
  <si>
    <t>varillones de 1,40 mts.</t>
  </si>
  <si>
    <t>varillas de 1,20 mts.</t>
  </si>
  <si>
    <t>baldosa cerámica roja 6 x 24</t>
  </si>
  <si>
    <t>Hoja fibrofacil 4mm 1,83x2,60</t>
  </si>
  <si>
    <t>Combustible Tipo  IFO</t>
  </si>
  <si>
    <t>eq.301</t>
  </si>
  <si>
    <t>ai.011</t>
  </si>
  <si>
    <t>Membrana HDPE 60 Esp. 1,5 mm, Lisa, Calidad GM13 (m2)</t>
  </si>
  <si>
    <t>ERROR</t>
  </si>
  <si>
    <t>motocompresor tipo P185 WR</t>
  </si>
  <si>
    <t>equipo regador de agua  cap. 6000 lt</t>
  </si>
  <si>
    <t>equipo regador de asfalto cap 5000 lt</t>
  </si>
  <si>
    <t>barredora sopladora</t>
  </si>
  <si>
    <t>eq.076</t>
  </si>
  <si>
    <t>eq.078</t>
  </si>
  <si>
    <t>eq.082</t>
  </si>
  <si>
    <t>eq.086</t>
  </si>
  <si>
    <t>eq.088</t>
  </si>
  <si>
    <t>eq.089</t>
  </si>
  <si>
    <t>eq.102</t>
  </si>
  <si>
    <t>eq.103</t>
  </si>
  <si>
    <t>eq.104</t>
  </si>
  <si>
    <t>eq.105</t>
  </si>
  <si>
    <t>tasa comerc. y financ. eq. Importado</t>
  </si>
  <si>
    <t>derechos de aprobación C.Profes.</t>
  </si>
  <si>
    <t>ma.021</t>
  </si>
  <si>
    <t>poste de quebracho entero 2,40m</t>
  </si>
  <si>
    <t>ma.022</t>
  </si>
  <si>
    <t>medio  poste de quebracho 2,20</t>
  </si>
  <si>
    <t>ma.023</t>
  </si>
  <si>
    <t>ma.024</t>
  </si>
  <si>
    <t>mo.005</t>
  </si>
  <si>
    <t>adicional p/especialidad</t>
  </si>
  <si>
    <t>rv.016</t>
  </si>
  <si>
    <t>gavion de 4,00 x 1,00 x 1,00 mts.</t>
  </si>
  <si>
    <t>rv.017</t>
  </si>
  <si>
    <t>gavion de 4,00 x 1,50 x 1,00 mts.</t>
  </si>
  <si>
    <t>rv.018</t>
  </si>
  <si>
    <t>gavion de 4,00 x 2,00 x 1,00 mts.</t>
  </si>
  <si>
    <t>rv.019</t>
  </si>
  <si>
    <t>colchonetas de 4,00 x 2,00 x 0,17 mts.</t>
  </si>
  <si>
    <t>rv.020</t>
  </si>
  <si>
    <t>malla geotextil 150 grs./m2</t>
  </si>
  <si>
    <t>rv.021</t>
  </si>
  <si>
    <t>defensa metálica  e=3,2mm x7,62m</t>
  </si>
  <si>
    <t>rv.022</t>
  </si>
  <si>
    <t>poste metálico altura 1500 mm perfil 190x80x4,75 mm</t>
  </si>
  <si>
    <t>rv.024</t>
  </si>
  <si>
    <t>alas terminales</t>
  </si>
  <si>
    <t>rv.025</t>
  </si>
  <si>
    <t>rv.026</t>
  </si>
  <si>
    <t>rv.027</t>
  </si>
  <si>
    <t>fuel-oil</t>
  </si>
  <si>
    <t>rv.028</t>
  </si>
  <si>
    <t>C.A. (50-60)</t>
  </si>
  <si>
    <t>rv.029</t>
  </si>
  <si>
    <t>junta de dilatación</t>
  </si>
  <si>
    <t>rv.030</t>
  </si>
  <si>
    <t>apoyo de neoprene</t>
  </si>
  <si>
    <t>cm3</t>
  </si>
  <si>
    <t>rv.031</t>
  </si>
  <si>
    <t>rv.032</t>
  </si>
  <si>
    <t>rv.033</t>
  </si>
  <si>
    <t>portico de señal aérea DNV 130 k 16 m. Luz</t>
  </si>
  <si>
    <t>rv.034</t>
  </si>
  <si>
    <t xml:space="preserve">columna de brazo tipo DNV 130 k </t>
  </si>
  <si>
    <t>rv.035</t>
  </si>
  <si>
    <t>carteles reflectivos 2,10x1,20m</t>
  </si>
  <si>
    <t>rv.036</t>
  </si>
  <si>
    <t>equipo p/laboratorio y oficina</t>
  </si>
  <si>
    <t>rv.037</t>
  </si>
  <si>
    <t>agregado zarand. Pétreo fino vial</t>
  </si>
  <si>
    <t>rv.038</t>
  </si>
  <si>
    <t>agregado zarand. Pétreo triturado  vial</t>
  </si>
  <si>
    <t xml:space="preserve">tasa cartera general BNA </t>
  </si>
  <si>
    <t>sombreado p/completar p/parte de registro</t>
  </si>
  <si>
    <t>Mano de Obra 1,20$ x ml a mayor diametro 1,30$</t>
  </si>
  <si>
    <t>binda procem</t>
  </si>
  <si>
    <t>plastico 1,80x1,00m</t>
  </si>
  <si>
    <t>valdez - el vallenar-moyano</t>
  </si>
  <si>
    <t>feltrin - oiel - RD electr</t>
  </si>
  <si>
    <t>precio registro</t>
  </si>
  <si>
    <t>"camion regador 140 hp" estaria formado por  camion volcador con equipo regador</t>
  </si>
  <si>
    <t>tekno bomba</t>
  </si>
  <si>
    <t>se formaria c/camión volcador</t>
  </si>
  <si>
    <t>isuzo motors</t>
  </si>
  <si>
    <t>cornejo rovaletti</t>
  </si>
  <si>
    <t>milagro - barugel</t>
  </si>
  <si>
    <t>la industrial</t>
  </si>
  <si>
    <t>loma negra-minetti</t>
  </si>
  <si>
    <t>leon maderas (descontar iva)- cedroran</t>
  </si>
  <si>
    <t>gerala</t>
  </si>
  <si>
    <t>gomez rocco</t>
  </si>
  <si>
    <t>martin- martel-america</t>
  </si>
  <si>
    <t>ing. Wierna - Cear</t>
  </si>
  <si>
    <t>zoricich-oiel</t>
  </si>
  <si>
    <t>siderar</t>
  </si>
  <si>
    <t>macaferri</t>
  </si>
  <si>
    <t>arsa</t>
  </si>
  <si>
    <t>postesados</t>
  </si>
  <si>
    <t>cleanosol cotiza en m2</t>
  </si>
  <si>
    <t>cleanosol</t>
  </si>
  <si>
    <t>alein intern sumat. Varios insumos</t>
  </si>
  <si>
    <t>moyano</t>
  </si>
  <si>
    <t>barugel</t>
  </si>
  <si>
    <t>se toma precio registro</t>
  </si>
  <si>
    <t>Col E cotiza la industrial</t>
  </si>
  <si>
    <t>cristalizando-castellani-l.vidrios</t>
  </si>
  <si>
    <t>precio El Milagro-Ruiz Ladrillo</t>
  </si>
  <si>
    <t>El Milagro</t>
  </si>
  <si>
    <t>obra social+gremio</t>
  </si>
  <si>
    <t>promet (hierronort - iva) (himeco -iva)</t>
  </si>
  <si>
    <t>cant.Insum</t>
  </si>
  <si>
    <t>Salp. Tersuax30k</t>
  </si>
  <si>
    <t>Plast.x1,5 ltx30k</t>
  </si>
  <si>
    <t>tranqueras 1,50 altox6,00 ancho</t>
  </si>
  <si>
    <t>$xUn</t>
  </si>
  <si>
    <t>km</t>
  </si>
  <si>
    <t>$/tn*km</t>
  </si>
  <si>
    <t>eq.106</t>
  </si>
  <si>
    <t>eq.107</t>
  </si>
  <si>
    <t>eq.108</t>
  </si>
  <si>
    <t>eq.109</t>
  </si>
  <si>
    <t>eq.110</t>
  </si>
  <si>
    <t>fi.028</t>
  </si>
  <si>
    <t>fi.029</t>
  </si>
  <si>
    <t>mo.008</t>
  </si>
  <si>
    <t>chofer</t>
  </si>
  <si>
    <t xml:space="preserve">FLETE CARRETERO CORRESPONDIENTE A </t>
  </si>
  <si>
    <t>seguro 1620-45($/año)</t>
  </si>
  <si>
    <t>seguro 1218-42($/año)</t>
  </si>
  <si>
    <t>camión M. Benz 1218-42</t>
  </si>
  <si>
    <t>camión M. Benz 1620-45</t>
  </si>
  <si>
    <t>eq.111</t>
  </si>
  <si>
    <t>eq.112</t>
  </si>
  <si>
    <t>equipo acoplado p/camion 1218-42</t>
  </si>
  <si>
    <t>equipo acoplado p/camion 1620-45</t>
  </si>
  <si>
    <t>($ 100 x 6,90%)/170Hs</t>
  </si>
  <si>
    <t>Contempla Nvo. Incr. Salar</t>
  </si>
  <si>
    <t>DATOS</t>
  </si>
  <si>
    <t>RENDIM.</t>
  </si>
  <si>
    <t>oiel-ampere tucuman</t>
  </si>
  <si>
    <t xml:space="preserve">planta de asfalto 80 Tn/h c/filtro de manga </t>
  </si>
  <si>
    <t>precio ant.U$S</t>
  </si>
  <si>
    <t>retroexcavadora s/oruga 140 HP 0,80m3</t>
  </si>
  <si>
    <t>terminadora de asfalto CIBER 115CR serie 135</t>
  </si>
  <si>
    <t>vibrador de placa Waker BPS</t>
  </si>
  <si>
    <t>salpicado plástico blanco tipo Igam</t>
  </si>
  <si>
    <t>material termosplastico (subcontrato)</t>
  </si>
  <si>
    <t>rv.039</t>
  </si>
  <si>
    <t xml:space="preserve">material termosplastico </t>
  </si>
  <si>
    <t>ampere norte tucuman sujeto a nuevo precio</t>
  </si>
  <si>
    <t>Covema cotizó e $ sin grupo electróg.</t>
  </si>
  <si>
    <t>Altobelli</t>
  </si>
  <si>
    <t>altobelli Martillo rompe pavimento + Juego de manguera y tres puntas</t>
  </si>
  <si>
    <t>fracchia</t>
  </si>
  <si>
    <t>petrobras Diluidos</t>
  </si>
  <si>
    <t>Covema cotizó e $</t>
  </si>
  <si>
    <t>U$S</t>
  </si>
  <si>
    <t>ripio lavado 1/5"</t>
  </si>
  <si>
    <t>terminadora de asfalto CIBER SA 115 CR serie 135</t>
  </si>
  <si>
    <t>galvitub</t>
  </si>
  <si>
    <t>matafuegos salta CON IVA</t>
  </si>
  <si>
    <t>La  industrial</t>
  </si>
  <si>
    <t>Tubonor</t>
  </si>
  <si>
    <t>promet</t>
  </si>
  <si>
    <t>ceramica del norte</t>
  </si>
  <si>
    <t>promet-hierronort-himeco</t>
  </si>
  <si>
    <t>el milagro - barugel - staneff</t>
  </si>
  <si>
    <t>macrosa</t>
  </si>
  <si>
    <t>eq.113   grupo electrógeno CAT (3306ATAAC) 275 KVA Stanby Cotiza Macrosa</t>
  </si>
  <si>
    <t>bovedilla cerámica para viguetas 12,5x40x25</t>
  </si>
  <si>
    <t>gas service - tubonor</t>
  </si>
  <si>
    <t>gas service-tubonor</t>
  </si>
  <si>
    <t>Gas Service</t>
  </si>
  <si>
    <t>saltapor</t>
  </si>
  <si>
    <t>far plast</t>
  </si>
  <si>
    <t>hb (ex-plegamet) - estilo y diseño(ex-polimat) - misa</t>
  </si>
  <si>
    <t>gas service-ing. Wierna-cear</t>
  </si>
  <si>
    <t>vivero san cayetano-vivero las margaritas</t>
  </si>
  <si>
    <t>Venta</t>
  </si>
  <si>
    <t>Promedio</t>
  </si>
  <si>
    <t>Julio</t>
  </si>
  <si>
    <t>Set-03</t>
  </si>
  <si>
    <t>DÓLAR</t>
  </si>
  <si>
    <t>strand</t>
  </si>
  <si>
    <t>iatra</t>
  </si>
  <si>
    <t>pint. Martin-Martel-América</t>
  </si>
  <si>
    <t>torniquetas Nº7 aerea</t>
  </si>
  <si>
    <t>elimino misa de los proveedores</t>
  </si>
  <si>
    <t>misa</t>
  </si>
  <si>
    <t>Col E cotiza el milagro - barugel discontinuidad</t>
  </si>
  <si>
    <t>ma.025</t>
  </si>
  <si>
    <t>placa spanacustic c/fibra vidrio 25 mm (1,22 x 0,61m)</t>
  </si>
  <si>
    <t>Perfil chapa galv. Solera de 35 mm x 2,60 m (para cielorraso)</t>
  </si>
  <si>
    <t>ch.021</t>
  </si>
  <si>
    <t>Perfil chapa galv. Solera de 70 mm x 2,60 m (para pared)</t>
  </si>
  <si>
    <t>Compactadora de Suelo Rodillo Liso 145 HP CS 533 D</t>
  </si>
  <si>
    <t>Para los meses anteriores se tomaba una aplanadora CAT 825G Serie II, el valor en uss era de 536.00 EXCESIVO</t>
  </si>
  <si>
    <t>retroexcavadora s/oruga 140 HP 0,80m3 (CAT 320)</t>
  </si>
  <si>
    <t>Oct</t>
  </si>
  <si>
    <t>Set</t>
  </si>
  <si>
    <t>Ago</t>
  </si>
  <si>
    <t>Nov</t>
  </si>
  <si>
    <t>NO ENCUENTRO EN LA LISTA DE PRECIOS</t>
  </si>
  <si>
    <t>Cleanosol</t>
  </si>
  <si>
    <t>ac.081</t>
  </si>
  <si>
    <t>hierro planchuela 5/8"x1/8"</t>
  </si>
  <si>
    <t>sansone</t>
  </si>
  <si>
    <t>milagro - sansone</t>
  </si>
  <si>
    <t>copyshow</t>
  </si>
  <si>
    <t>Consejo Profesional</t>
  </si>
  <si>
    <t>petrobras Emulsion Lenta</t>
  </si>
  <si>
    <t>petrobras Emulsion Rapida</t>
  </si>
  <si>
    <t>petrobras Mezcla 70/30</t>
  </si>
  <si>
    <t>petrobras Asfalto 70/100 - 50/60</t>
  </si>
  <si>
    <t>x10</t>
  </si>
  <si>
    <t>ac.089</t>
  </si>
  <si>
    <t>gancho "J" p/chapa galvanizada de 0,50</t>
  </si>
  <si>
    <t>ch.012</t>
  </si>
  <si>
    <t>ch.013</t>
  </si>
  <si>
    <t>caño estructural 40x80x1,6x 6 m</t>
  </si>
  <si>
    <t>caño estructural 30x40x1,2x 6 m</t>
  </si>
  <si>
    <t>JABALINA SIMPLE 5/8*1000 FACBSA (R.D)</t>
  </si>
  <si>
    <t>CANO BAJADA MONOF.2BOCA 1.1/4*3 COMPLETO</t>
  </si>
  <si>
    <t>CAJA TABLERO DE 16 X 21 CM.</t>
  </si>
  <si>
    <t>CABLE     1*1 $*MT.................</t>
  </si>
  <si>
    <t>CABLE     1*1.5 $*MT...............</t>
  </si>
  <si>
    <t>CABLE COBRE DESNUDO 1,37 mm 7*0,50.$*MT.</t>
  </si>
  <si>
    <t>CABLE COBRE DESNUDO 3,5mm 7*0,80.$*MT.</t>
  </si>
  <si>
    <t>FLORON PLAST REDO BCO.</t>
  </si>
  <si>
    <t>MODULO PULSADOR UNIP.C/CAMP.RODA BCO</t>
  </si>
  <si>
    <t>LLAVE 1 PTO.EXT.LUMIN.MIG.1787 PLASNAVI</t>
  </si>
  <si>
    <t>LLAVE 2 PTOS.EXT.LUMIN.MIG.1788 PLASNAVI</t>
  </si>
  <si>
    <t>ROSETA DE MADERA REDONDA 10 CM</t>
  </si>
  <si>
    <t xml:space="preserve">PORTALAMPARA BAK.3 PZ.NEGRO 515 </t>
  </si>
  <si>
    <t>RECEPTACULO CURVO NEG BAK.584</t>
  </si>
  <si>
    <t>CAÑO 3/4 SEMIPESADO X 3 MTS</t>
  </si>
  <si>
    <t>CONECTORES HIERRO DE 5/8"</t>
  </si>
  <si>
    <t>el169</t>
  </si>
  <si>
    <t>CONECTORES HIERRO DE 3/4"</t>
  </si>
  <si>
    <t>CAJA CUADRADAS 10*10 N°20</t>
  </si>
  <si>
    <t>pb.010</t>
  </si>
  <si>
    <t>rg.026</t>
  </si>
  <si>
    <t>sa.284</t>
  </si>
  <si>
    <t>ga.161</t>
  </si>
  <si>
    <t>ga.162</t>
  </si>
  <si>
    <t>ga.164</t>
  </si>
  <si>
    <t>ga.165</t>
  </si>
  <si>
    <t>ga.166</t>
  </si>
  <si>
    <t>ga.167</t>
  </si>
  <si>
    <t>ga.168</t>
  </si>
  <si>
    <t>ga.169</t>
  </si>
  <si>
    <t>ga.170</t>
  </si>
  <si>
    <t>ga.171</t>
  </si>
  <si>
    <t>ga.172</t>
  </si>
  <si>
    <t>ga.174</t>
  </si>
  <si>
    <t>LLAVE PASO GAS BRONCE ½"</t>
  </si>
  <si>
    <t>LLAVE PASO GAS BRONCE 3/4"</t>
  </si>
  <si>
    <t>CAÑO EPOXI 13 MM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</si>
  <si>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</si>
  <si>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</si>
  <si>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</si>
  <si>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</si>
  <si>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BUJES RED. EPOXI 3/4*1/2      73289</t>
  </si>
  <si>
    <t>TAPON MACHO EPOXI DE 1/2      73340 L.T</t>
  </si>
  <si>
    <t>TAPON MACHO EPOXI DE 3/4      73342 L.T</t>
  </si>
  <si>
    <t>POLYGUARD 660 DE 0,05 X 10 MTS.</t>
  </si>
  <si>
    <t>SOMBRERETE CHAPA APROBADO DE 100 C/TORN.</t>
  </si>
  <si>
    <t>ma.004</t>
  </si>
  <si>
    <t>ma.007</t>
  </si>
  <si>
    <t>ma.008</t>
  </si>
  <si>
    <t>madera machimbrada pino 3/4"</t>
  </si>
  <si>
    <t>madera machimbrada pino 1/2"</t>
  </si>
  <si>
    <t>zocalo pino 7 cm</t>
  </si>
  <si>
    <t>ma.011</t>
  </si>
  <si>
    <t>ma.012</t>
  </si>
  <si>
    <t>ma.016</t>
  </si>
  <si>
    <t>ma.017</t>
  </si>
  <si>
    <t>ma.018</t>
  </si>
  <si>
    <t>fenólicos 15 mm. (1,60 x 2,20 m)</t>
  </si>
  <si>
    <t>fenólicos 18 mm. (1,60 x 2,20 m)</t>
  </si>
  <si>
    <t>madera dura 11/2"x2" cepillada</t>
  </si>
  <si>
    <t xml:space="preserve">madera dura 11/2" </t>
  </si>
  <si>
    <t>madera dura 3"x3"</t>
  </si>
  <si>
    <t>ma.026</t>
  </si>
  <si>
    <t>tablones pino 2"x15"</t>
  </si>
  <si>
    <t>ca.013b</t>
  </si>
  <si>
    <t>el.175b</t>
  </si>
  <si>
    <t>eq.001b</t>
  </si>
  <si>
    <t>eq.002b</t>
  </si>
  <si>
    <t>re.085b</t>
  </si>
  <si>
    <t>so.016</t>
  </si>
  <si>
    <t>sa.285</t>
  </si>
  <si>
    <t>sa.321</t>
  </si>
  <si>
    <t>sa.322</t>
  </si>
  <si>
    <t>sa.323</t>
  </si>
  <si>
    <t>sa.324</t>
  </si>
  <si>
    <t>sa.325</t>
  </si>
  <si>
    <t>sa.328</t>
  </si>
  <si>
    <t>sa.329</t>
  </si>
  <si>
    <t>sa.330</t>
  </si>
  <si>
    <t>sa.331</t>
  </si>
  <si>
    <t>sa.332</t>
  </si>
  <si>
    <t>sa.333</t>
  </si>
  <si>
    <t>sa.334</t>
  </si>
  <si>
    <t>sa.335</t>
  </si>
  <si>
    <t>sa.336</t>
  </si>
  <si>
    <t>sa.337</t>
  </si>
  <si>
    <t>sa.338</t>
  </si>
  <si>
    <t>sa.339</t>
  </si>
  <si>
    <t>sa.340</t>
  </si>
  <si>
    <t>sa.341</t>
  </si>
  <si>
    <t>sa.342</t>
  </si>
  <si>
    <t>sa.343</t>
  </si>
  <si>
    <t>sa.345</t>
  </si>
  <si>
    <t>sa.346</t>
  </si>
  <si>
    <t>sa.349</t>
  </si>
  <si>
    <t>CUPLAS H°G° 3/4 * 1/2"</t>
  </si>
  <si>
    <t>CUPLAS H°G° 1 * 1/2 - 3/4"</t>
  </si>
  <si>
    <t>CODOS HH H°G° * 90°  DE ½"</t>
  </si>
  <si>
    <t>CODOS MH H°G° * 90° DE ½"</t>
  </si>
  <si>
    <t>BUJES H°G° 3/4" * 1/2"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</si>
  <si>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</si>
  <si>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</si>
  <si>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</si>
  <si>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</si>
  <si>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</si>
  <si>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</si>
  <si>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</si>
  <si>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</si>
  <si>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</si>
  <si>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</si>
  <si>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</si>
  <si>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</si>
  <si>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</si>
  <si>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VALVULAS ESFERICAS BCE. 1/2</t>
  </si>
  <si>
    <t>VALVULAS ESFERICAS BCE. 3/4</t>
  </si>
  <si>
    <t xml:space="preserve">SELLA ROSCA HIDRO 3 X 125 CC </t>
  </si>
  <si>
    <t>ASIENTO P/INODORO MONKOTO BLANCO 39030</t>
  </si>
  <si>
    <t>CANILLA SERVICIO BCE.½  (A-C)</t>
  </si>
  <si>
    <t>FLEXIBLE FLEXIFORMA CROM.1/2*30</t>
  </si>
  <si>
    <t>SIFON P/DESCARGA SIMPLE       40005</t>
  </si>
  <si>
    <t>pi.033</t>
  </si>
  <si>
    <t>papel lija mediana</t>
  </si>
  <si>
    <t>masilla</t>
  </si>
  <si>
    <t xml:space="preserve">  </t>
  </si>
  <si>
    <t xml:space="preserve">CABLE 2*4 SUBTERRANEO           </t>
  </si>
  <si>
    <t>Importe</t>
  </si>
  <si>
    <r>
      <t>rastra de disco DUMAIRE R-10</t>
    </r>
    <r>
      <rPr>
        <sz val="10"/>
        <color indexed="10"/>
        <rFont val="Arial"/>
        <family val="2"/>
      </rPr>
      <t>(TATU)</t>
    </r>
    <r>
      <rPr>
        <sz val="10"/>
        <rFont val="Arial"/>
        <family val="2"/>
      </rPr>
      <t xml:space="preserve"> de 40 x 26"</t>
    </r>
  </si>
  <si>
    <t>sa.022</t>
  </si>
  <si>
    <t>asiento p/inodoro PVC</t>
  </si>
  <si>
    <t>sa.270</t>
  </si>
  <si>
    <t>canilla bronce cromo p/pil. lavar 1/2"</t>
  </si>
  <si>
    <t>sa.194</t>
  </si>
  <si>
    <t>sa.195</t>
  </si>
  <si>
    <t xml:space="preserve">TAPON MACHO IPS 1/2"            </t>
  </si>
  <si>
    <t xml:space="preserve">TAPON MACHO IPS 3/4 "  </t>
  </si>
  <si>
    <t>caño semipesado 3/4" x 3 m.</t>
  </si>
  <si>
    <t>ga.152</t>
  </si>
  <si>
    <t>Caño epoxi 13 mm</t>
  </si>
  <si>
    <t>ga.138</t>
  </si>
  <si>
    <t>llave p/gas cromada 3/4"</t>
  </si>
  <si>
    <t>ga.159</t>
  </si>
  <si>
    <t>codo epoxi 13 mm</t>
  </si>
  <si>
    <t>ga.008</t>
  </si>
  <si>
    <t>Sombrerete chapa aprobado de 100 c/tornillos</t>
  </si>
  <si>
    <t>madera machimbrada pino 1"x6"</t>
  </si>
  <si>
    <t>flotante completo p/tanque 1/2"</t>
  </si>
  <si>
    <t>sa.221</t>
  </si>
  <si>
    <t>sellador p/rosca x 125 cm3</t>
  </si>
  <si>
    <t>conector hierro 3/4"</t>
  </si>
  <si>
    <t>caja octogonal chica ch.20</t>
  </si>
  <si>
    <t>caja octogonal grande ch.20</t>
  </si>
  <si>
    <t>ga.200</t>
  </si>
  <si>
    <t>tapon macho epoxi 3/4"</t>
  </si>
  <si>
    <t>tapon macho epoxi 1/2"</t>
  </si>
  <si>
    <t>ga.201</t>
  </si>
  <si>
    <t>ga.180</t>
  </si>
  <si>
    <t>buje reduccion epoxi 3/4" x 1/2"</t>
  </si>
  <si>
    <t>cable desnudo cobre 7x0,50 mm2</t>
  </si>
  <si>
    <t>madera 1" pino nacional s/cepillar</t>
  </si>
  <si>
    <t>el.153</t>
  </si>
  <si>
    <t>el.157</t>
  </si>
  <si>
    <t>el.158</t>
  </si>
  <si>
    <t>el.160</t>
  </si>
  <si>
    <t>el.161</t>
  </si>
  <si>
    <t>el.162</t>
  </si>
  <si>
    <t>el.167</t>
  </si>
  <si>
    <t>ladrillo hueco portante 18x 18x30</t>
  </si>
  <si>
    <t>cable cobre desnudo 7 x 0,85 mm2</t>
  </si>
  <si>
    <t>Pegamento p/polyguard 1 litro</t>
  </si>
  <si>
    <t>ga.005</t>
  </si>
  <si>
    <t>Coeficiente</t>
  </si>
  <si>
    <t>camioneta pick up cabina simple</t>
  </si>
  <si>
    <t>rv.038b</t>
  </si>
  <si>
    <t>eq.007b</t>
  </si>
  <si>
    <t>eq.009b</t>
  </si>
  <si>
    <t>eq.013b</t>
  </si>
  <si>
    <t>eq.019b</t>
  </si>
  <si>
    <t>eq.024b</t>
  </si>
  <si>
    <t>eq.026b</t>
  </si>
  <si>
    <t>eq.028b</t>
  </si>
  <si>
    <t>eq.040b</t>
  </si>
  <si>
    <t>eq.044b</t>
  </si>
  <si>
    <t>eq.058b</t>
  </si>
  <si>
    <t>eq.060b</t>
  </si>
  <si>
    <t>eq.066b</t>
  </si>
  <si>
    <t>eq.068b</t>
  </si>
  <si>
    <t>eq.070b</t>
  </si>
  <si>
    <t>eq.072b</t>
  </si>
  <si>
    <t>eq.074b</t>
  </si>
  <si>
    <t>Retrocargadora CAT 416D 74HP Pala 1m3 Balde 0,3m3</t>
  </si>
  <si>
    <t>Motoniveladora CAT 120H 140HP c/Ripper trasero</t>
  </si>
  <si>
    <t>Cargadora CAT 938G II 160HP Pala 2,8m3</t>
  </si>
  <si>
    <t>Mixer 5 m3 Sobre Camion eq.107</t>
  </si>
  <si>
    <t>Topadora CAT D7R Serie II - 240 Hp - Hoja 7SU - Ripper multivastago</t>
  </si>
  <si>
    <t>Bomba a explosión 5 H. P. Honda WB 30 XT</t>
  </si>
  <si>
    <t>Plancha vibradora a explosión 5 H.P. Wacker WP 2050R</t>
  </si>
  <si>
    <t>Regla vibradora 5 H.P. Wacker 6,8 Mts</t>
  </si>
  <si>
    <t>Tractor engomado 120 H.P. Jhon Deere</t>
  </si>
  <si>
    <t>Vibrador inmersión a nafta 4 H.P. Wacker A3000</t>
  </si>
  <si>
    <t>Motocompresor tipo P185 WR</t>
  </si>
  <si>
    <t>Grupo electrógeno CAT (3406 CD) 300 KVA Stand by</t>
  </si>
  <si>
    <t>Equipo regador de agua  cap. 6000 lt</t>
  </si>
  <si>
    <t>Equipo regador de asfalto cap 6600 lt</t>
  </si>
  <si>
    <t>Barredora sopladora</t>
  </si>
  <si>
    <t>Equipos Nuevos Agregados al universo de precios</t>
  </si>
  <si>
    <t>ac.116</t>
  </si>
  <si>
    <t>Caño estructural 25x25x1,6 x 6 m</t>
  </si>
  <si>
    <t>ac.117</t>
  </si>
  <si>
    <t>Caño estructural redondo 2"x1,2 x 6 m</t>
  </si>
  <si>
    <t>Caño PRFV 900mm diám. Presión 1 bar</t>
  </si>
  <si>
    <t>her.001</t>
  </si>
  <si>
    <t>her.002</t>
  </si>
  <si>
    <t>her.003</t>
  </si>
  <si>
    <t>her.004</t>
  </si>
  <si>
    <t>her.005</t>
  </si>
  <si>
    <t>her.006</t>
  </si>
  <si>
    <t>her.007</t>
  </si>
  <si>
    <t>her.008</t>
  </si>
  <si>
    <t>her.009</t>
  </si>
  <si>
    <t>her.010</t>
  </si>
  <si>
    <t>her.011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</si>
  <si>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</si>
  <si>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</si>
  <si>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</si>
  <si>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</si>
  <si>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</si>
  <si>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</si>
  <si>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</si>
  <si>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</si>
  <si>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</si>
  <si>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- Diám. 12 mm</t>
  </si>
  <si>
    <t>Dobladora de hierro - Diám. 20 mm</t>
  </si>
  <si>
    <t>Retroexcavadora 87 H.P.</t>
  </si>
  <si>
    <t>Motoniveladora 180 H.P.</t>
  </si>
  <si>
    <t>Camión volcador 140 H.P.</t>
  </si>
  <si>
    <t>Pala cargadora 140 H.P.</t>
  </si>
  <si>
    <t>Rodillo neumático autopropulsado 70 HP</t>
  </si>
  <si>
    <t>Vibrocompactador autopropulsado 120 HP</t>
  </si>
  <si>
    <t>Camión mixer 5 m3   240 H.P.</t>
  </si>
  <si>
    <t>Topadora D-7  200 H.P.</t>
  </si>
  <si>
    <t>Excavadora s/oruga 90 HP 0,74m3 c/zap 700mm  CAT 312 CL</t>
  </si>
  <si>
    <t>Planta eleboradora de hormigón</t>
  </si>
  <si>
    <t>Emulsión lenta 1 (CRL – 1)</t>
  </si>
  <si>
    <t>Emulsión rápida 1 (CRR – 1)</t>
  </si>
  <si>
    <t>Diluido Medio 1 (EM – 1) y Rápido 1 (ER – 1)</t>
  </si>
  <si>
    <t>cubierta 900x20 c/tacos</t>
  </si>
  <si>
    <t>cubierta 1000x20 c/tacos</t>
  </si>
  <si>
    <t>cubierta 1100x20 c/tacos</t>
  </si>
  <si>
    <t>el.009b</t>
  </si>
  <si>
    <t>el.020b</t>
  </si>
  <si>
    <t>el.021b</t>
  </si>
  <si>
    <t>el.022b</t>
  </si>
  <si>
    <t>el.023b</t>
  </si>
  <si>
    <t>el.024b</t>
  </si>
  <si>
    <t>el.025b</t>
  </si>
  <si>
    <t>el.027b</t>
  </si>
  <si>
    <t>el.057b</t>
  </si>
  <si>
    <t>el.058b</t>
  </si>
  <si>
    <t>el.059b</t>
  </si>
  <si>
    <t>el.060b</t>
  </si>
  <si>
    <t>el.061b</t>
  </si>
  <si>
    <t>el.062b</t>
  </si>
  <si>
    <t>el.071b</t>
  </si>
  <si>
    <t>el.072b</t>
  </si>
  <si>
    <t>el.073b</t>
  </si>
  <si>
    <t>el.075b</t>
  </si>
  <si>
    <t>el.076b</t>
  </si>
  <si>
    <t>el.080b</t>
  </si>
  <si>
    <t>el.100b</t>
  </si>
  <si>
    <t>el.101b</t>
  </si>
  <si>
    <t>el.102b</t>
  </si>
  <si>
    <t>el.103b</t>
  </si>
  <si>
    <t>el.104b</t>
  </si>
  <si>
    <t>el.105b</t>
  </si>
  <si>
    <t>el.107b</t>
  </si>
  <si>
    <t>el.108b</t>
  </si>
  <si>
    <t>el.109b</t>
  </si>
  <si>
    <t>el.110b</t>
  </si>
  <si>
    <t>el.111b</t>
  </si>
  <si>
    <t>el.112b</t>
  </si>
  <si>
    <t>el.113b</t>
  </si>
  <si>
    <t>el.114b</t>
  </si>
  <si>
    <t>el.115b</t>
  </si>
  <si>
    <t>el.149b</t>
  </si>
  <si>
    <t>el.150b</t>
  </si>
  <si>
    <t>el.151b</t>
  </si>
  <si>
    <t>el.152b</t>
  </si>
  <si>
    <t>el.159b</t>
  </si>
  <si>
    <t>el.160b</t>
  </si>
  <si>
    <t>el.164b</t>
  </si>
  <si>
    <t>el.165b</t>
  </si>
  <si>
    <t>el.166b</t>
  </si>
  <si>
    <t>el.168b</t>
  </si>
  <si>
    <t>el.170b</t>
  </si>
  <si>
    <t>el.172b</t>
  </si>
  <si>
    <t>Caja medidor 220V policarbonato EDESA</t>
  </si>
  <si>
    <t>caja medidor 380 V policarbonato EDESA</t>
  </si>
  <si>
    <t>Cable cobre aislado 1 x 2.5 mm2.</t>
  </si>
  <si>
    <t>cable subterraneo 2x4 mm2</t>
  </si>
  <si>
    <t>cable subterraneo 3x6 mm2</t>
  </si>
  <si>
    <t>cable cobre aislado 1 x 1,5 mm2</t>
  </si>
  <si>
    <t>Caja rectangular 10 x 5 x 4.5</t>
  </si>
  <si>
    <t>caja p/ 4 termicas</t>
  </si>
  <si>
    <t>caja p/ 6 termicas</t>
  </si>
  <si>
    <t>caño liviano hierro 5/8" x 3 m</t>
  </si>
  <si>
    <t>Caño semipesado 5/8"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</si>
  <si>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</si>
  <si>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</si>
  <si>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</si>
  <si>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</si>
  <si>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</si>
  <si>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</si>
  <si>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</si>
  <si>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</si>
  <si>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</si>
  <si>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</si>
  <si>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</si>
  <si>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</si>
  <si>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</si>
  <si>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</si>
  <si>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</si>
  <si>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</si>
  <si>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</si>
  <si>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</si>
  <si>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</si>
  <si>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cinta aisladora PVC x 20 m</t>
  </si>
  <si>
    <t>CAÑO BAJADA MONOF.2BOCA 1.1/4*3 COMPLETO Galvaniz. Pesado</t>
  </si>
  <si>
    <t>PORTALAMPARA BAK.3 PZ.NEGRO 515</t>
  </si>
  <si>
    <t>Caja rectangular CH.20</t>
  </si>
  <si>
    <t>mo.006</t>
  </si>
  <si>
    <t>eq.003</t>
  </si>
  <si>
    <t>ac.015</t>
  </si>
  <si>
    <t>li.006</t>
  </si>
  <si>
    <t>ar.003</t>
  </si>
  <si>
    <t>ar.001</t>
  </si>
  <si>
    <t>eq.004</t>
  </si>
  <si>
    <t>ac.030</t>
  </si>
  <si>
    <t>ch.004</t>
  </si>
  <si>
    <t>ai.014</t>
  </si>
  <si>
    <t>li.004</t>
  </si>
  <si>
    <t>la.001</t>
  </si>
  <si>
    <t>la.006</t>
  </si>
  <si>
    <t>bl.002</t>
  </si>
  <si>
    <t>li.009</t>
  </si>
  <si>
    <t>ar.004</t>
  </si>
  <si>
    <t>so.003</t>
  </si>
  <si>
    <t>li.001</t>
  </si>
  <si>
    <t>ai.012</t>
  </si>
  <si>
    <t>te.003</t>
  </si>
  <si>
    <t>ch.002</t>
  </si>
  <si>
    <t>ch.006</t>
  </si>
  <si>
    <t>la.010</t>
  </si>
  <si>
    <t>bl.003</t>
  </si>
  <si>
    <t>ac.034</t>
  </si>
  <si>
    <t>pi.022</t>
  </si>
  <si>
    <t>ca.001</t>
  </si>
  <si>
    <t>ca.008</t>
  </si>
  <si>
    <t>vi.003</t>
  </si>
  <si>
    <t>sa.108</t>
  </si>
  <si>
    <t>sa.071</t>
  </si>
  <si>
    <t>sa.244</t>
  </si>
  <si>
    <t>mo.007</t>
  </si>
  <si>
    <t>sa.239</t>
  </si>
  <si>
    <t>sa.020</t>
  </si>
  <si>
    <t>sa.291</t>
  </si>
  <si>
    <t>sa.090</t>
  </si>
  <si>
    <t>ga.137</t>
  </si>
  <si>
    <t>ga.126</t>
  </si>
  <si>
    <t>ga.010</t>
  </si>
  <si>
    <t>ga.116</t>
  </si>
  <si>
    <t>ga.114</t>
  </si>
  <si>
    <t>ga.113</t>
  </si>
  <si>
    <t>pi.018</t>
  </si>
  <si>
    <t>pi.010</t>
  </si>
  <si>
    <t>ac.002</t>
  </si>
  <si>
    <t>pi.019</t>
  </si>
  <si>
    <t>MOVIMIENTO DE TIERRA</t>
  </si>
  <si>
    <t>FUNDACIONES</t>
  </si>
  <si>
    <t>ESTRUCTURA RESISTENTE</t>
  </si>
  <si>
    <t>CERRAMIENTO EXTER. E INTERIORES</t>
  </si>
  <si>
    <t>AISLACIONES</t>
  </si>
  <si>
    <t>REVOQUES</t>
  </si>
  <si>
    <t>0.27.00.A</t>
  </si>
  <si>
    <t>SOLADOS</t>
  </si>
  <si>
    <t>0.27.10.A</t>
  </si>
  <si>
    <t>0.27.20.A</t>
  </si>
  <si>
    <t>0.27.25.A</t>
  </si>
  <si>
    <t>0.27.30.A</t>
  </si>
  <si>
    <t>0.27.40.A</t>
  </si>
  <si>
    <t>0.30.00.A</t>
  </si>
  <si>
    <t>TECHOS</t>
  </si>
  <si>
    <t>0.30.15.A</t>
  </si>
  <si>
    <t>0.30.30.A</t>
  </si>
  <si>
    <t>0.30.31.A</t>
  </si>
  <si>
    <t>0.30.45.A</t>
  </si>
  <si>
    <t>0.30.60.A</t>
  </si>
  <si>
    <t>0.33.00.A</t>
  </si>
  <si>
    <t>CIELORRASOS</t>
  </si>
  <si>
    <t>0.33.05.A</t>
  </si>
  <si>
    <t>0.33.10.A</t>
  </si>
  <si>
    <t>0.33.15.A</t>
  </si>
  <si>
    <t>0.33.30.A</t>
  </si>
  <si>
    <t>0.36.30.A</t>
  </si>
  <si>
    <t>REVESTIMIENTOS</t>
  </si>
  <si>
    <t>0.36.40.A</t>
  </si>
  <si>
    <t>0.39.00.A</t>
  </si>
  <si>
    <t>CARPINTERIA</t>
  </si>
  <si>
    <t>INSTALACION AGUA CALIENTE Y FRIA</t>
  </si>
  <si>
    <t>0.48.20.A</t>
  </si>
  <si>
    <t>ARTEFACTOS SANITARIOS Y GRIFERIA</t>
  </si>
  <si>
    <t>DESAGUES CLOACALES Y PLUVIALES</t>
  </si>
  <si>
    <t>INSTALACION DE GAS</t>
  </si>
  <si>
    <t>0.60.30.A</t>
  </si>
  <si>
    <t>0.60.40.A</t>
  </si>
  <si>
    <t>0.61.00.A</t>
  </si>
  <si>
    <t>ARTEFACTOS DE GAS</t>
  </si>
  <si>
    <t>0.63.00.A</t>
  </si>
  <si>
    <t>INSTALACION ELECTRICA</t>
  </si>
  <si>
    <t>0.63.20.A</t>
  </si>
  <si>
    <t>0.72.00.A</t>
  </si>
  <si>
    <t>PINTURA</t>
  </si>
  <si>
    <t>0.72.20.A</t>
  </si>
  <si>
    <t>0.72.30.A</t>
  </si>
  <si>
    <t>0.78.00.A</t>
  </si>
  <si>
    <t>VIDRIOS</t>
  </si>
  <si>
    <t>excavación de sotanos a mano</t>
  </si>
  <si>
    <t>excavación de pozos estr. a mano</t>
  </si>
  <si>
    <t>capa aislad.de concreto e hidr.</t>
  </si>
  <si>
    <t>exteriores a la cal</t>
  </si>
  <si>
    <t>grueso y fino a la cal inter.</t>
  </si>
  <si>
    <t>interior de yeso s/mamp.</t>
  </si>
  <si>
    <t>contrapisos de cascote</t>
  </si>
  <si>
    <t>mosaico calcareo</t>
  </si>
  <si>
    <t>piso y zóc.cerám. incl. carpeta</t>
  </si>
  <si>
    <t>cemento alisado term. a la llana</t>
  </si>
  <si>
    <t>inclinado teja - estruct. madera</t>
  </si>
  <si>
    <t>plano c/aislación s/losa</t>
  </si>
  <si>
    <t>losa aliv. vigueta cerámica</t>
  </si>
  <si>
    <t>suspendido a la cal</t>
  </si>
  <si>
    <t>Aserradora pavimento Target Minicom II 13,5 Hp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</si>
  <si>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</si>
  <si>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</si>
  <si>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</si>
  <si>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</si>
  <si>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</si>
  <si>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azulejos</t>
  </si>
  <si>
    <t>metal. y madera viv. unifamiliar</t>
  </si>
  <si>
    <t>Artefactos de gas y acces.</t>
  </si>
  <si>
    <t>Viv. unifamiliar 3 dorm.</t>
  </si>
  <si>
    <t>pintura al látex</t>
  </si>
  <si>
    <t>pintura a la cal</t>
  </si>
  <si>
    <t>en carpintería metál.y de madera</t>
  </si>
  <si>
    <t>vidrios dobles transparentes</t>
  </si>
  <si>
    <t>ma.010</t>
  </si>
  <si>
    <t>ma.015</t>
  </si>
  <si>
    <t>ac.050</t>
  </si>
  <si>
    <t>inclinado Fº Cº s/estruct. metal.</t>
  </si>
  <si>
    <t>inclinado Hº Gº s/estruct. metal.</t>
  </si>
  <si>
    <t>inclinado Hº Gº s/estruct. madera</t>
  </si>
  <si>
    <t>ma.020</t>
  </si>
  <si>
    <t>ac.040</t>
  </si>
  <si>
    <t>li.005</t>
  </si>
  <si>
    <t>ga.150</t>
  </si>
  <si>
    <t>ga.160</t>
  </si>
  <si>
    <t>HºNº vivienda colectiva</t>
  </si>
  <si>
    <t>pi.020</t>
  </si>
  <si>
    <t>pi.003</t>
  </si>
  <si>
    <t>pi.025</t>
  </si>
  <si>
    <t>sa.200</t>
  </si>
  <si>
    <t>sa.205</t>
  </si>
  <si>
    <t>sa.210</t>
  </si>
  <si>
    <t>sa.220</t>
  </si>
  <si>
    <t>sa.310</t>
  </si>
  <si>
    <t>pintura al agua</t>
  </si>
  <si>
    <t>pi.016</t>
  </si>
  <si>
    <t>0.72.40.A</t>
  </si>
  <si>
    <t>VARIOS</t>
  </si>
  <si>
    <t>cerco olímpico alambre romboidal</t>
  </si>
  <si>
    <t>ac.060</t>
  </si>
  <si>
    <t>ac.070</t>
  </si>
  <si>
    <t>ac.090</t>
  </si>
  <si>
    <t>ac.080</t>
  </si>
  <si>
    <t>pre.030</t>
  </si>
  <si>
    <t>pre.010</t>
  </si>
  <si>
    <t>REDES DE AGUA</t>
  </si>
  <si>
    <t>1.10.00.F</t>
  </si>
  <si>
    <t>1.10.01.F</t>
  </si>
  <si>
    <t>sa.247</t>
  </si>
  <si>
    <t>Caño con costura de A°I° AISI 304 de Diam. 219,1x5,00mm</t>
  </si>
  <si>
    <t>pb.100</t>
  </si>
  <si>
    <t>Caño con costura de A°I° AISI 304 de Diam. 273,1x5,00mm</t>
  </si>
  <si>
    <t>pb.101</t>
  </si>
  <si>
    <t>Caño con costura de A°I° AISI 304 de Diam. 323,8x5,00mm</t>
  </si>
  <si>
    <t>pb.102</t>
  </si>
  <si>
    <t>REDES DE CLOACA</t>
  </si>
  <si>
    <t>1.20.00.F</t>
  </si>
  <si>
    <t>RED DE GAS</t>
  </si>
  <si>
    <t>sa.111</t>
  </si>
  <si>
    <t>1.40.01.F</t>
  </si>
  <si>
    <t>RED VIAL</t>
  </si>
  <si>
    <t>cordón cuneta de HºAº</t>
  </si>
  <si>
    <t>1.60.01.F</t>
  </si>
  <si>
    <t>1.60.02.F</t>
  </si>
  <si>
    <t>m</t>
  </si>
  <si>
    <t>1.60.03.F</t>
  </si>
  <si>
    <t>excavación de zanja a mano</t>
  </si>
  <si>
    <t>exc. mano y retiro de suelos (500m)</t>
  </si>
  <si>
    <t>eq.010</t>
  </si>
  <si>
    <t>eq.018</t>
  </si>
  <si>
    <t>0.18.15.F</t>
  </si>
  <si>
    <t>0.39.01.F</t>
  </si>
  <si>
    <t>metalica viv. unifamiliar</t>
  </si>
  <si>
    <t>0.39.02.F</t>
  </si>
  <si>
    <t>madera viv. unifamiliar</t>
  </si>
  <si>
    <t>mamp. de ladr. Cer.  8 x 18 x 30</t>
  </si>
  <si>
    <t>mamp. de ladr. Cer.  12 x 18 x 30</t>
  </si>
  <si>
    <t>mamp. de ladr. Cer.  18 x 18 x 30</t>
  </si>
  <si>
    <t>la.008</t>
  </si>
  <si>
    <t>0.18.16.F</t>
  </si>
  <si>
    <t>0.18.17.F</t>
  </si>
  <si>
    <t>0.18.00.F</t>
  </si>
  <si>
    <t>0.21.00.F</t>
  </si>
  <si>
    <t>0.24.00.F</t>
  </si>
  <si>
    <t>0.24.51.F</t>
  </si>
  <si>
    <t>tejas s/losa incl. Aislac.</t>
  </si>
  <si>
    <t>0.06.00.F</t>
  </si>
  <si>
    <t>0.06.01.F</t>
  </si>
  <si>
    <t>0.06.02.F</t>
  </si>
  <si>
    <t>0.06.03.F</t>
  </si>
  <si>
    <t>eq.014</t>
  </si>
  <si>
    <t>eq.011</t>
  </si>
  <si>
    <t>0.06.04.F</t>
  </si>
  <si>
    <t>desm.y terrapl.a mano y máqu.</t>
  </si>
  <si>
    <t>replanteo y compact. a mano</t>
  </si>
  <si>
    <t>0.48.00.F</t>
  </si>
  <si>
    <t>vivienda unifamiliar c/conexión</t>
  </si>
  <si>
    <t>0.54.00.F</t>
  </si>
  <si>
    <t>0.60.30.F</t>
  </si>
  <si>
    <t>Hº de limpieza - e= 5 cm</t>
  </si>
  <si>
    <t>0.09.01.F</t>
  </si>
  <si>
    <t>mamposter. de ladr. común 0.30</t>
  </si>
  <si>
    <t xml:space="preserve">mamposter. de ladr. común 0.15 </t>
  </si>
  <si>
    <t>muro bloque de Hº 19 x19 x 40</t>
  </si>
  <si>
    <t>mamposter. de ladr. común a la vista</t>
  </si>
  <si>
    <t>0.18.01.F</t>
  </si>
  <si>
    <t>0.18.02.F</t>
  </si>
  <si>
    <t>0.18.25.A</t>
  </si>
  <si>
    <t>estr. de Hº Aº vigas resist.</t>
  </si>
  <si>
    <t>estr. de Hº Aº columna resist.</t>
  </si>
  <si>
    <t>0.09.02.F</t>
  </si>
  <si>
    <t>0.09.03.F</t>
  </si>
  <si>
    <t>0.12.01.F</t>
  </si>
  <si>
    <t>0.12.02.F</t>
  </si>
  <si>
    <t>estr. de Hº Aº vigas y columnas. encad .</t>
  </si>
  <si>
    <t>0.12.03.F</t>
  </si>
  <si>
    <t>0.12.04.F</t>
  </si>
  <si>
    <t>estr. de Hº Aº losa maciza e=10 cm</t>
  </si>
  <si>
    <t>0.12.05.F</t>
  </si>
  <si>
    <t>estr. de Hº Aº losa cerám. aliv.c/viguetas</t>
  </si>
  <si>
    <t>0.09.04.F</t>
  </si>
  <si>
    <t>hºaº vigas de fundación</t>
  </si>
  <si>
    <t>hºaº bases aisladas</t>
  </si>
  <si>
    <t>hºaº platea de fundación</t>
  </si>
  <si>
    <t>0.18.18.F</t>
  </si>
  <si>
    <t>la.009</t>
  </si>
  <si>
    <t>fijador al agua</t>
  </si>
  <si>
    <t>en carpintería  de madera</t>
  </si>
  <si>
    <t>en carpintería  metálica</t>
  </si>
  <si>
    <t>pintura p/ladrillo visto</t>
  </si>
  <si>
    <t>0.63.20.F</t>
  </si>
  <si>
    <t>conexión agua p/vivienda unifam.</t>
  </si>
  <si>
    <t>0.48.01.F</t>
  </si>
  <si>
    <t>vivienda unifamiliar sin conex.</t>
  </si>
  <si>
    <t>0.48.02.F</t>
  </si>
  <si>
    <t>0.57.01.F</t>
  </si>
  <si>
    <t>mosaico granít. pulido  en obra</t>
  </si>
  <si>
    <t>so.004</t>
  </si>
  <si>
    <t>0.27.40.F</t>
  </si>
  <si>
    <t>hºsº fratazado e=10 cm</t>
  </si>
  <si>
    <t>0.27.41.F</t>
  </si>
  <si>
    <t>0.57.00.F</t>
  </si>
  <si>
    <t>sa.089</t>
  </si>
  <si>
    <t>sa.300</t>
  </si>
  <si>
    <t>ga.011</t>
  </si>
  <si>
    <t xml:space="preserve"> Hº Aº losa maciza c/encofr. Metálic</t>
  </si>
  <si>
    <t>grueso reforz.b/revestimiento</t>
  </si>
  <si>
    <t>Viv. Unifamiliar c/acomet. a pilar</t>
  </si>
  <si>
    <t>0.99.02.F</t>
  </si>
  <si>
    <t>Item</t>
  </si>
  <si>
    <t>mesada de gran. reconst. c/bacha y pileta lavar</t>
  </si>
  <si>
    <t>de PVC c/conexión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</si>
  <si>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</si>
  <si>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hidrófugo</t>
  </si>
  <si>
    <t>hºaº fratazado e=15 cm</t>
  </si>
  <si>
    <t>artefactos sanit.y grifer. Viv. Unifam.</t>
  </si>
  <si>
    <t>Ventana 2H de abrir alum. natural 1,2x1,2 c/cristal float 4mm incoloro</t>
  </si>
  <si>
    <t>Ventana 2H de abrir alum. Anodiz. 1,2x1,2 c/cristal float 4mm incoloro</t>
  </si>
  <si>
    <t>ca.020</t>
  </si>
  <si>
    <t>ca.030</t>
  </si>
  <si>
    <t>PVC vivienda indiv. S/ conexión a red</t>
  </si>
  <si>
    <t>PVC viv. Unifam. C/conexión a red</t>
  </si>
  <si>
    <t>Epoxi viv. Unifamiliar p/gas env.</t>
  </si>
  <si>
    <t>pavimento articulado c/subbase</t>
  </si>
  <si>
    <t>rv.010</t>
  </si>
  <si>
    <t>ar.006</t>
  </si>
  <si>
    <t>ar.005</t>
  </si>
  <si>
    <t>eq.008</t>
  </si>
  <si>
    <t>%</t>
  </si>
  <si>
    <t>PEAD  varios Ø MM</t>
  </si>
  <si>
    <t>limpieza final de obra</t>
  </si>
  <si>
    <t>Epoxi viv. Unifamiliar a red</t>
  </si>
  <si>
    <t>mamp. de ladr. Cerr.  Portante</t>
  </si>
  <si>
    <t>eq.007</t>
  </si>
  <si>
    <t>CODIGO</t>
  </si>
  <si>
    <t>DESCRIPCION</t>
  </si>
  <si>
    <t>mo.001</t>
  </si>
  <si>
    <t>oficial especializado</t>
  </si>
  <si>
    <t>h</t>
  </si>
  <si>
    <t>mo.002</t>
  </si>
  <si>
    <t>oficial</t>
  </si>
  <si>
    <t>mo.003</t>
  </si>
  <si>
    <t>medio oficial</t>
  </si>
  <si>
    <t>mo.004</t>
  </si>
  <si>
    <t>ayudante</t>
  </si>
  <si>
    <t>cuadrilla tipo UOCRA</t>
  </si>
  <si>
    <t>cal hidratada en bolsa</t>
  </si>
  <si>
    <t>cemento Portland</t>
  </si>
  <si>
    <t>cemento blanco</t>
  </si>
  <si>
    <t>yeso blanco</t>
  </si>
  <si>
    <t>membrana b/tejas c/aislac. térmica TBA5</t>
  </si>
  <si>
    <t>m2</t>
  </si>
  <si>
    <t>ai.006</t>
  </si>
  <si>
    <t>pintura asfáltica base acuosa</t>
  </si>
  <si>
    <t>ai.003</t>
  </si>
  <si>
    <t>esmalte asfáltico (asfalto líquido en tacho de 4 litros)</t>
  </si>
  <si>
    <t>pintura asfáltica secado rapido</t>
  </si>
  <si>
    <t>poliestireno expandido 20 mm</t>
  </si>
  <si>
    <t>ladrillo hueco 6T  8x18x30</t>
  </si>
  <si>
    <t>ladrillo hueco 9T 18x18x30</t>
  </si>
  <si>
    <t>ladrillo común de 1ra.calidad</t>
  </si>
  <si>
    <t>mil</t>
  </si>
  <si>
    <t>bloque de H° de 19 x 19 x 39</t>
  </si>
  <si>
    <t>teja francesa</t>
  </si>
  <si>
    <t>chapa de hierro N°16 DD de 1 x 2 m.</t>
  </si>
  <si>
    <t>llave 1 punto y toma 10 A</t>
  </si>
  <si>
    <t>caja rectangular 10 x 5 x 4.5</t>
  </si>
  <si>
    <t>camión Ford 14000 Diesel</t>
  </si>
  <si>
    <t>equipo volquete BACO 7 m3</t>
  </si>
  <si>
    <t>eq.005</t>
  </si>
  <si>
    <t>gasoil</t>
  </si>
  <si>
    <t>hierro mejorado de 10 mm.</t>
  </si>
  <si>
    <t>malla Sima R92</t>
  </si>
  <si>
    <t>alambre de puas x 500 m.</t>
  </si>
  <si>
    <t>rollo</t>
  </si>
  <si>
    <t>malla Sima Q92</t>
  </si>
  <si>
    <t>clavos P.P. 2"</t>
  </si>
  <si>
    <t>esmalte sintetico x 4 lts blanco</t>
  </si>
  <si>
    <t>pintura al latex - lata 20 lts,</t>
  </si>
  <si>
    <t>kg</t>
  </si>
  <si>
    <t>mosaico calcareo amarillo, rojo o gris</t>
  </si>
  <si>
    <t>mosaico granítico 30x30</t>
  </si>
  <si>
    <t>mesada granito reconst. 4 cm. de espesor</t>
  </si>
  <si>
    <t>azulejo 15x15 blanco</t>
  </si>
  <si>
    <t>caño PVC 3.2 p/desague cloacal 0.110 x 4 m.</t>
  </si>
  <si>
    <t>caño PVC 3.2 p/desague cloacal 0.060 x 4 m.</t>
  </si>
  <si>
    <t>sa.169</t>
  </si>
  <si>
    <t>pileta de patio PVC 5 entradas</t>
  </si>
  <si>
    <t>sa.021</t>
  </si>
  <si>
    <t>mochila losa c/ codo</t>
  </si>
  <si>
    <t>llave de paso de bronce 0.019</t>
  </si>
  <si>
    <t>llave esclusa bronce 0.019</t>
  </si>
  <si>
    <t>juego llave y flor p/ducha cromada</t>
  </si>
  <si>
    <t>vidrio doble transparente</t>
  </si>
  <si>
    <t>puerta placa 0,70 x 2,00</t>
  </si>
  <si>
    <t>ventana 2 H. abrir c/mco.met. 1,20x1,10</t>
  </si>
  <si>
    <t>arena gruesa</t>
  </si>
  <si>
    <t>m3</t>
  </si>
  <si>
    <t>ripiosa</t>
  </si>
  <si>
    <t>ripio zarandeado 1/3</t>
  </si>
  <si>
    <t>gabinete completo p/ 12 medidores</t>
  </si>
  <si>
    <t>pintura al agua bolsa 4 kg</t>
  </si>
  <si>
    <t>enduído plástico</t>
  </si>
  <si>
    <t>barniz sintético</t>
  </si>
  <si>
    <t>caño H-3 tricapa 19 mm</t>
  </si>
  <si>
    <t>tee IPS 19 mm</t>
  </si>
  <si>
    <t>kit medidor agua aprob. ASSA</t>
  </si>
  <si>
    <t>gabinete p/medidor agua aprobado ASSA</t>
  </si>
  <si>
    <t>caño H-3 tricapa 25 mm</t>
  </si>
  <si>
    <t>válvula exclusa bronce 25 mm</t>
  </si>
  <si>
    <t>codo H°G° 19 mm</t>
  </si>
  <si>
    <t>codo epoxi 19 mm</t>
  </si>
  <si>
    <t>codo IPS 19 mm</t>
  </si>
  <si>
    <t>caño de chapa galvanizada</t>
  </si>
  <si>
    <t>caño extruído 19 mm</t>
  </si>
  <si>
    <t>tirante pino 3x6"</t>
  </si>
  <si>
    <t>listones pino 1x2"</t>
  </si>
  <si>
    <t>tirante pino 2x3"</t>
  </si>
  <si>
    <t>alambre romboidal 150x50x14</t>
  </si>
  <si>
    <t>alambre galvaniz. 16/14</t>
  </si>
  <si>
    <t>hierro planchuela 1/2"x1/8"</t>
  </si>
  <si>
    <t>gancho p/alambre tejido 3/8"x200 mm</t>
  </si>
  <si>
    <t>poste intermedio x 3,05 m</t>
  </si>
  <si>
    <t>poste esquinero x 3,05 m</t>
  </si>
  <si>
    <t>cuadrilla tipo U.G.A.T.S.</t>
  </si>
  <si>
    <t>eq.006</t>
  </si>
  <si>
    <t>eq.009</t>
  </si>
  <si>
    <t>motoniveladora</t>
  </si>
  <si>
    <t>eq.012</t>
  </si>
  <si>
    <t>eq.013</t>
  </si>
  <si>
    <t>eq.015</t>
  </si>
  <si>
    <t>rodillo neumático autopropulsado 70 HP</t>
  </si>
  <si>
    <t>eq.016</t>
  </si>
  <si>
    <t>eq.017</t>
  </si>
  <si>
    <t>vibrocompactador autopropulsado 120 HP</t>
  </si>
  <si>
    <t>eq.019</t>
  </si>
  <si>
    <t>mixer hormigón 5 m3</t>
  </si>
  <si>
    <t>eq.020</t>
  </si>
  <si>
    <t>eq.021</t>
  </si>
  <si>
    <t>rc.020</t>
  </si>
  <si>
    <t>rv.040</t>
  </si>
  <si>
    <t>***</t>
  </si>
  <si>
    <t>A partir de marzo 2014 utilizar eq.012</t>
  </si>
  <si>
    <t>A partir de marzo 2014 utilizar eq.020</t>
  </si>
  <si>
    <t>A partir de marzo 2014 utilizar eq.008</t>
  </si>
  <si>
    <t>li.007 Cal hidratada a granel se deja de relevar a partir de Marzo 2014 - Utilizar li.004</t>
  </si>
  <si>
    <t>Se deja de relevar a partir de Marzo 2014</t>
  </si>
  <si>
    <t>rv.038 se retira de precios testigos a partir de 5/2014 - utilizar rv.038b únicamente</t>
  </si>
  <si>
    <t>Se deja de grabar a partir de Mayo 2014 - utilizar únicamente ac.080 y ac.081</t>
  </si>
  <si>
    <t>Fijo</t>
  </si>
  <si>
    <t>Manual</t>
  </si>
  <si>
    <t>Ok</t>
  </si>
  <si>
    <t>*</t>
  </si>
  <si>
    <t>Id. a eq.080</t>
  </si>
  <si>
    <t>Oct-14</t>
  </si>
  <si>
    <t>via formula</t>
  </si>
  <si>
    <t>MES:   Oct-04</t>
  </si>
</sst>
</file>

<file path=xl/styles.xml><?xml version="1.0" encoding="utf-8"?>
<styleSheet xmlns="http://schemas.openxmlformats.org/spreadsheetml/2006/main">
  <numFmts count="20">
    <numFmt numFmtId="42" formatCode="_ &quot;$&quot;\ * #,##0_ ;_ &quot;$&quot;\ * \-#,##0_ ;_ &quot;$&quot;\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72" formatCode="_(&quot;$&quot;\ * #,##0.00_);_(&quot;$&quot;\ * \(#,##0.00\);_(&quot;$&quot;\ * &quot;-&quot;??_);_(@_)"/>
    <numFmt numFmtId="173" formatCode="0_)"/>
    <numFmt numFmtId="174" formatCode="_ * #,##0.000_ ;_ * \-#,##0.000_ ;_ * &quot;-&quot;??_ ;_ @_ "/>
    <numFmt numFmtId="176" formatCode="_ * #,##0_ ;_ * \-#,##0_ ;_ * &quot;-&quot;??_ ;_ @_ "/>
    <numFmt numFmtId="177" formatCode="_ &quot;$&quot;\ * #,##0.000_ ;_ &quot;$&quot;\ * \-#,##0.000_ ;_ &quot;$&quot;\ * &quot;-&quot;??_ ;_ @_ "/>
    <numFmt numFmtId="178" formatCode="0.00000"/>
    <numFmt numFmtId="179" formatCode="0.0000"/>
    <numFmt numFmtId="180" formatCode="0.000"/>
    <numFmt numFmtId="181" formatCode="_ * #,##0.0000_ ;_ * \-#,##0.0000_ ;_ * &quot;-&quot;??_ ;_ @_ "/>
    <numFmt numFmtId="182" formatCode="0.0"/>
    <numFmt numFmtId="183" formatCode="_-* #,##0.0000\ _p_t_a_-;\-* #,##0.0000\ _p_t_a_-;_-* &quot;-&quot;????\ _p_t_a_-;_-@_-"/>
    <numFmt numFmtId="184" formatCode="_-* #,##0.000\ _p_t_a_-;\-* #,##0.000\ _p_t_a_-;_-* &quot;-&quot;????\ _p_t_a_-;_-@_-"/>
    <numFmt numFmtId="185" formatCode="_ &quot;$&quot;\ * #,##0.000_ ;_ &quot;$&quot;\ * \-#,##0.000_ ;_ &quot;$&quot;\ * &quot;-&quot;_ ;_ @_ "/>
    <numFmt numFmtId="186" formatCode="#,##0.000_ ;\-#,##0.000\ "/>
    <numFmt numFmtId="187" formatCode="&quot;$&quot;\ #.##000;&quot;$&quot;\ \-#.##000"/>
    <numFmt numFmtId="188" formatCode="&quot;$&quot;\ #,##0.00"/>
    <numFmt numFmtId="189" formatCode="_ * #,##0.0000000000000000000000_ ;_ * \-#,##0.0000000000000000000000_ ;_ * &quot;-&quot;??_ ;_ @_ "/>
  </numFmts>
  <fonts count="39">
    <font>
      <sz val="12"/>
      <name val="Courie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12"/>
      <color indexed="10"/>
      <name val="Courier"/>
      <family val="3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7"/>
      <name val="Bookman Old Style"/>
      <family val="1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7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57"/>
      <name val="Bookman Old Style"/>
      <family val="1"/>
    </font>
    <font>
      <sz val="11"/>
      <color indexed="8"/>
      <name val="Arial"/>
      <family val="2"/>
    </font>
    <font>
      <b/>
      <sz val="13"/>
      <color indexed="9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u/>
      <sz val="1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459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left"/>
    </xf>
    <xf numFmtId="173" fontId="3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73" fontId="3" fillId="3" borderId="0" xfId="0" applyNumberFormat="1" applyFont="1" applyFill="1" applyAlignment="1" applyProtection="1">
      <alignment horizontal="left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2" fillId="3" borderId="2" xfId="0" applyFont="1" applyFill="1" applyBorder="1" applyAlignment="1" applyProtection="1"/>
    <xf numFmtId="0" fontId="5" fillId="0" borderId="0" xfId="0" applyFont="1"/>
    <xf numFmtId="0" fontId="8" fillId="0" borderId="0" xfId="5"/>
    <xf numFmtId="0" fontId="10" fillId="3" borderId="0" xfId="5" applyFont="1" applyFill="1"/>
    <xf numFmtId="0" fontId="10" fillId="4" borderId="4" xfId="5" applyFont="1" applyFill="1" applyBorder="1"/>
    <xf numFmtId="0" fontId="3" fillId="0" borderId="0" xfId="0" applyFont="1" applyFill="1" applyAlignment="1">
      <alignment horizontal="center"/>
    </xf>
    <xf numFmtId="174" fontId="3" fillId="0" borderId="0" xfId="1" applyNumberFormat="1" applyFont="1"/>
    <xf numFmtId="0" fontId="8" fillId="0" borderId="0" xfId="5" applyFont="1"/>
    <xf numFmtId="0" fontId="8" fillId="0" borderId="5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8" fillId="0" borderId="7" xfId="5" applyFont="1" applyBorder="1"/>
    <xf numFmtId="0" fontId="8" fillId="0" borderId="8" xfId="5" applyFont="1" applyBorder="1"/>
    <xf numFmtId="0" fontId="8" fillId="0" borderId="9" xfId="5" applyFont="1" applyBorder="1"/>
    <xf numFmtId="176" fontId="8" fillId="0" borderId="5" xfId="1" applyNumberFormat="1" applyFont="1" applyBorder="1"/>
    <xf numFmtId="176" fontId="8" fillId="0" borderId="10" xfId="1" applyNumberFormat="1" applyFont="1" applyBorder="1"/>
    <xf numFmtId="176" fontId="8" fillId="0" borderId="6" xfId="1" applyNumberFormat="1" applyFont="1" applyBorder="1"/>
    <xf numFmtId="0" fontId="8" fillId="0" borderId="0" xfId="5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quotePrefix="1" applyFont="1" applyAlignment="1">
      <alignment horizontal="center"/>
    </xf>
    <xf numFmtId="0" fontId="3" fillId="3" borderId="2" xfId="0" applyFont="1" applyFill="1" applyBorder="1" applyAlignment="1" applyProtection="1"/>
    <xf numFmtId="0" fontId="3" fillId="3" borderId="2" xfId="0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11" fillId="5" borderId="11" xfId="5" applyFont="1" applyFill="1" applyBorder="1" applyAlignment="1">
      <alignment horizontal="center" vertical="center" wrapText="1"/>
    </xf>
    <xf numFmtId="0" fontId="2" fillId="6" borderId="11" xfId="5" applyFont="1" applyFill="1" applyBorder="1" applyAlignment="1">
      <alignment horizontal="center" vertical="center" wrapText="1"/>
    </xf>
    <xf numFmtId="0" fontId="11" fillId="5" borderId="12" xfId="5" applyFont="1" applyFill="1" applyBorder="1" applyAlignment="1">
      <alignment horizontal="center" vertical="center" wrapText="1"/>
    </xf>
    <xf numFmtId="0" fontId="2" fillId="6" borderId="13" xfId="5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4" fontId="2" fillId="0" borderId="3" xfId="1" applyNumberFormat="1" applyFont="1" applyFill="1" applyBorder="1" applyProtection="1"/>
    <xf numFmtId="174" fontId="2" fillId="0" borderId="2" xfId="1" applyNumberFormat="1" applyFont="1" applyFill="1" applyBorder="1" applyAlignment="1" applyProtection="1"/>
    <xf numFmtId="174" fontId="2" fillId="0" borderId="2" xfId="1" applyNumberFormat="1" applyFont="1" applyFill="1" applyBorder="1" applyProtection="1"/>
    <xf numFmtId="174" fontId="3" fillId="0" borderId="0" xfId="1" applyNumberFormat="1" applyFont="1" applyProtection="1"/>
    <xf numFmtId="174" fontId="3" fillId="3" borderId="0" xfId="1" applyNumberFormat="1" applyFont="1" applyFill="1"/>
    <xf numFmtId="174" fontId="2" fillId="3" borderId="3" xfId="1" applyNumberFormat="1" applyFont="1" applyFill="1" applyBorder="1" applyProtection="1"/>
    <xf numFmtId="174" fontId="2" fillId="3" borderId="2" xfId="1" applyNumberFormat="1" applyFont="1" applyFill="1" applyBorder="1" applyAlignment="1" applyProtection="1"/>
    <xf numFmtId="174" fontId="2" fillId="3" borderId="2" xfId="1" applyNumberFormat="1" applyFont="1" applyFill="1" applyBorder="1" applyProtection="1"/>
    <xf numFmtId="174" fontId="3" fillId="3" borderId="0" xfId="1" applyNumberFormat="1" applyFont="1" applyFill="1" applyProtection="1"/>
    <xf numFmtId="174" fontId="3" fillId="3" borderId="3" xfId="1" applyNumberFormat="1" applyFont="1" applyFill="1" applyBorder="1" applyProtection="1"/>
    <xf numFmtId="174" fontId="12" fillId="3" borderId="2" xfId="1" applyNumberFormat="1" applyFont="1" applyFill="1" applyBorder="1"/>
    <xf numFmtId="174" fontId="3" fillId="3" borderId="2" xfId="1" applyNumberFormat="1" applyFont="1" applyFill="1" applyBorder="1" applyProtection="1"/>
    <xf numFmtId="174" fontId="3" fillId="0" borderId="0" xfId="1" applyNumberFormat="1" applyFont="1" applyBorder="1" applyAlignment="1" applyProtection="1">
      <alignment horizontal="center"/>
    </xf>
    <xf numFmtId="174" fontId="3" fillId="0" borderId="0" xfId="1" applyNumberFormat="1" applyFont="1" applyAlignment="1" applyProtection="1">
      <alignment horizontal="center"/>
    </xf>
    <xf numFmtId="174" fontId="12" fillId="0" borderId="2" xfId="1" applyNumberFormat="1" applyFont="1" applyFill="1" applyBorder="1"/>
    <xf numFmtId="174" fontId="3" fillId="0" borderId="0" xfId="1" applyNumberFormat="1" applyFont="1" applyBorder="1" applyAlignment="1">
      <alignment horizontal="center"/>
    </xf>
    <xf numFmtId="174" fontId="3" fillId="0" borderId="0" xfId="1" applyNumberFormat="1" applyFont="1" applyFill="1" applyProtection="1"/>
    <xf numFmtId="174" fontId="2" fillId="0" borderId="3" xfId="1" applyNumberFormat="1" applyFont="1" applyFill="1" applyBorder="1"/>
    <xf numFmtId="181" fontId="3" fillId="0" borderId="0" xfId="1" applyNumberFormat="1" applyFont="1"/>
    <xf numFmtId="181" fontId="2" fillId="2" borderId="3" xfId="1" applyNumberFormat="1" applyFont="1" applyFill="1" applyBorder="1" applyProtection="1"/>
    <xf numFmtId="181" fontId="2" fillId="0" borderId="2" xfId="1" applyNumberFormat="1" applyFont="1" applyFill="1" applyBorder="1" applyProtection="1"/>
    <xf numFmtId="181" fontId="3" fillId="0" borderId="0" xfId="1" applyNumberFormat="1" applyFont="1" applyProtection="1"/>
    <xf numFmtId="181" fontId="3" fillId="3" borderId="0" xfId="1" applyNumberFormat="1" applyFont="1" applyFill="1"/>
    <xf numFmtId="181" fontId="2" fillId="3" borderId="2" xfId="1" applyNumberFormat="1" applyFont="1" applyFill="1" applyBorder="1" applyProtection="1"/>
    <xf numFmtId="181" fontId="3" fillId="3" borderId="0" xfId="1" applyNumberFormat="1" applyFont="1" applyFill="1" applyProtection="1"/>
    <xf numFmtId="181" fontId="3" fillId="3" borderId="2" xfId="1" applyNumberFormat="1" applyFont="1" applyFill="1" applyBorder="1" applyProtection="1"/>
    <xf numFmtId="0" fontId="14" fillId="3" borderId="3" xfId="0" applyFont="1" applyFill="1" applyBorder="1" applyAlignment="1" applyProtection="1"/>
    <xf numFmtId="0" fontId="14" fillId="0" borderId="3" xfId="0" applyFont="1" applyFill="1" applyBorder="1" applyAlignment="1" applyProtection="1"/>
    <xf numFmtId="0" fontId="12" fillId="3" borderId="3" xfId="0" applyFont="1" applyFill="1" applyBorder="1" applyAlignment="1" applyProtection="1"/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2" fillId="3" borderId="0" xfId="0" applyFont="1" applyFill="1" applyAlignment="1" applyProtection="1">
      <alignment horizontal="left"/>
    </xf>
    <xf numFmtId="173" fontId="12" fillId="0" borderId="0" xfId="0" applyNumberFormat="1" applyFont="1" applyAlignment="1" applyProtection="1">
      <alignment horizontal="left"/>
    </xf>
    <xf numFmtId="174" fontId="3" fillId="0" borderId="0" xfId="1" applyNumberFormat="1" applyFont="1" applyAlignment="1">
      <alignment horizontal="left"/>
    </xf>
    <xf numFmtId="183" fontId="15" fillId="0" borderId="0" xfId="1" applyNumberFormat="1" applyFont="1" applyFill="1" applyBorder="1" applyProtection="1"/>
    <xf numFmtId="180" fontId="3" fillId="0" borderId="0" xfId="0" applyNumberFormat="1" applyFont="1"/>
    <xf numFmtId="184" fontId="3" fillId="0" borderId="0" xfId="0" applyNumberFormat="1" applyFont="1"/>
    <xf numFmtId="0" fontId="6" fillId="0" borderId="0" xfId="0" applyFont="1"/>
    <xf numFmtId="0" fontId="3" fillId="3" borderId="11" xfId="0" applyFont="1" applyFill="1" applyBorder="1" applyAlignment="1" applyProtection="1">
      <alignment horizontal="center"/>
    </xf>
    <xf numFmtId="180" fontId="3" fillId="0" borderId="0" xfId="0" applyNumberFormat="1" applyFont="1" applyProtection="1"/>
    <xf numFmtId="180" fontId="0" fillId="0" borderId="0" xfId="0" applyNumberFormat="1"/>
    <xf numFmtId="182" fontId="0" fillId="0" borderId="0" xfId="0" applyNumberFormat="1"/>
    <xf numFmtId="179" fontId="0" fillId="0" borderId="0" xfId="0" applyNumberFormat="1"/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182" fontId="0" fillId="0" borderId="16" xfId="0" applyNumberForma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3" fillId="2" borderId="0" xfId="0" applyFont="1" applyFill="1" applyProtection="1"/>
    <xf numFmtId="180" fontId="3" fillId="2" borderId="0" xfId="0" applyNumberFormat="1" applyFont="1" applyFill="1" applyProtection="1"/>
    <xf numFmtId="17" fontId="0" fillId="0" borderId="17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1" xfId="0" applyFill="1" applyBorder="1"/>
    <xf numFmtId="0" fontId="0" fillId="2" borderId="16" xfId="0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0" borderId="25" xfId="0" applyBorder="1" applyAlignment="1">
      <alignment horizontal="center"/>
    </xf>
    <xf numFmtId="0" fontId="0" fillId="2" borderId="26" xfId="0" applyFill="1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19" fillId="0" borderId="17" xfId="0" applyFont="1" applyBorder="1" applyAlignment="1">
      <alignment horizontal="center"/>
    </xf>
    <xf numFmtId="180" fontId="19" fillId="0" borderId="18" xfId="0" applyNumberFormat="1" applyFont="1" applyBorder="1"/>
    <xf numFmtId="0" fontId="19" fillId="0" borderId="18" xfId="0" applyFont="1" applyBorder="1" applyAlignment="1">
      <alignment horizontal="center"/>
    </xf>
    <xf numFmtId="180" fontId="19" fillId="0" borderId="22" xfId="0" applyNumberFormat="1" applyFont="1" applyBorder="1"/>
    <xf numFmtId="178" fontId="0" fillId="0" borderId="0" xfId="0" applyNumberFormat="1"/>
    <xf numFmtId="0" fontId="3" fillId="0" borderId="0" xfId="0" applyFont="1" applyFill="1"/>
    <xf numFmtId="180" fontId="0" fillId="0" borderId="0" xfId="0" applyNumberFormat="1" applyAlignment="1">
      <alignment horizontal="center"/>
    </xf>
    <xf numFmtId="187" fontId="10" fillId="0" borderId="1" xfId="8" applyNumberFormat="1" applyFont="1" applyFill="1" applyBorder="1" applyAlignment="1">
      <alignment horizontal="right" wrapText="1"/>
    </xf>
    <xf numFmtId="0" fontId="3" fillId="3" borderId="16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/>
    <xf numFmtId="0" fontId="3" fillId="0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center"/>
    </xf>
    <xf numFmtId="0" fontId="3" fillId="3" borderId="2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173" fontId="3" fillId="3" borderId="20" xfId="0" applyNumberFormat="1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 vertical="center"/>
    </xf>
    <xf numFmtId="0" fontId="18" fillId="3" borderId="20" xfId="0" applyFont="1" applyFill="1" applyBorder="1" applyAlignment="1" applyProtection="1">
      <alignment horizontal="center"/>
    </xf>
    <xf numFmtId="0" fontId="3" fillId="3" borderId="2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</xf>
    <xf numFmtId="0" fontId="6" fillId="6" borderId="30" xfId="0" applyFont="1" applyFill="1" applyBorder="1" applyAlignment="1" applyProtection="1">
      <alignment horizontal="center" vertical="center"/>
    </xf>
    <xf numFmtId="0" fontId="6" fillId="6" borderId="31" xfId="0" applyFont="1" applyFill="1" applyBorder="1" applyAlignment="1" applyProtection="1">
      <alignment horizontal="center" vertical="center"/>
    </xf>
    <xf numFmtId="0" fontId="6" fillId="0" borderId="0" xfId="0" applyFont="1" applyAlignment="1"/>
    <xf numFmtId="188" fontId="10" fillId="0" borderId="32" xfId="8" applyNumberFormat="1" applyFont="1" applyFill="1" applyBorder="1" applyAlignment="1">
      <alignment horizontal="right" wrapText="1"/>
    </xf>
    <xf numFmtId="172" fontId="5" fillId="7" borderId="16" xfId="0" applyNumberFormat="1" applyFont="1" applyFill="1" applyBorder="1"/>
    <xf numFmtId="0" fontId="3" fillId="0" borderId="0" xfId="0" quotePrefix="1" applyFont="1" applyFill="1" applyAlignment="1">
      <alignment horizontal="center"/>
    </xf>
    <xf numFmtId="174" fontId="3" fillId="0" borderId="0" xfId="1" applyNumberFormat="1" applyFont="1" applyFill="1"/>
    <xf numFmtId="0" fontId="30" fillId="0" borderId="29" xfId="4" applyFont="1" applyFill="1" applyBorder="1" applyAlignment="1">
      <alignment horizontal="left" wrapText="1"/>
    </xf>
    <xf numFmtId="0" fontId="30" fillId="0" borderId="16" xfId="4" applyFont="1" applyFill="1" applyBorder="1" applyAlignment="1">
      <alignment horizontal="left" wrapText="1"/>
    </xf>
    <xf numFmtId="0" fontId="30" fillId="0" borderId="16" xfId="6" applyFont="1" applyFill="1" applyBorder="1" applyAlignment="1">
      <alignment horizontal="left" wrapText="1"/>
    </xf>
    <xf numFmtId="0" fontId="30" fillId="0" borderId="33" xfId="4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2" fillId="8" borderId="34" xfId="5" applyFont="1" applyFill="1" applyBorder="1" applyAlignment="1">
      <alignment horizontal="center" vertical="center" wrapText="1"/>
    </xf>
    <xf numFmtId="0" fontId="2" fillId="4" borderId="35" xfId="5" applyFont="1" applyFill="1" applyBorder="1" applyAlignment="1">
      <alignment vertical="center"/>
    </xf>
    <xf numFmtId="43" fontId="2" fillId="4" borderId="36" xfId="1" applyFont="1" applyFill="1" applyBorder="1" applyAlignment="1">
      <alignment vertical="center"/>
    </xf>
    <xf numFmtId="43" fontId="2" fillId="4" borderId="35" xfId="1" applyFont="1" applyFill="1" applyBorder="1" applyAlignment="1">
      <alignment vertical="center"/>
    </xf>
    <xf numFmtId="10" fontId="2" fillId="4" borderId="35" xfId="11" applyNumberFormat="1" applyFont="1" applyFill="1" applyBorder="1" applyAlignment="1">
      <alignment vertical="center"/>
    </xf>
    <xf numFmtId="43" fontId="2" fillId="9" borderId="35" xfId="1" applyFont="1" applyFill="1" applyBorder="1" applyAlignment="1">
      <alignment vertical="center"/>
    </xf>
    <xf numFmtId="174" fontId="2" fillId="8" borderId="35" xfId="1" applyNumberFormat="1" applyFont="1" applyFill="1" applyBorder="1" applyAlignment="1">
      <alignment vertical="center"/>
    </xf>
    <xf numFmtId="174" fontId="2" fillId="4" borderId="35" xfId="1" applyNumberFormat="1" applyFont="1" applyFill="1" applyBorder="1" applyAlignment="1">
      <alignment vertical="center"/>
    </xf>
    <xf numFmtId="174" fontId="2" fillId="0" borderId="35" xfId="1" applyNumberFormat="1" applyFont="1" applyBorder="1" applyAlignment="1">
      <alignment vertical="center"/>
    </xf>
    <xf numFmtId="43" fontId="2" fillId="10" borderId="37" xfId="1" applyFont="1" applyFill="1" applyBorder="1" applyAlignment="1">
      <alignment vertical="center"/>
    </xf>
    <xf numFmtId="0" fontId="2" fillId="8" borderId="38" xfId="5" applyFont="1" applyFill="1" applyBorder="1" applyAlignment="1">
      <alignment horizontal="center" vertical="center" wrapText="1"/>
    </xf>
    <xf numFmtId="0" fontId="2" fillId="4" borderId="39" xfId="5" applyFont="1" applyFill="1" applyBorder="1" applyAlignment="1">
      <alignment vertical="center"/>
    </xf>
    <xf numFmtId="43" fontId="2" fillId="4" borderId="40" xfId="1" applyFont="1" applyFill="1" applyBorder="1" applyAlignment="1">
      <alignment vertical="center"/>
    </xf>
    <xf numFmtId="43" fontId="2" fillId="4" borderId="39" xfId="1" applyFont="1" applyFill="1" applyBorder="1" applyAlignment="1">
      <alignment vertical="center"/>
    </xf>
    <xf numFmtId="10" fontId="2" fillId="4" borderId="39" xfId="11" applyNumberFormat="1" applyFont="1" applyFill="1" applyBorder="1" applyAlignment="1">
      <alignment vertical="center"/>
    </xf>
    <xf numFmtId="43" fontId="2" fillId="9" borderId="39" xfId="1" applyFont="1" applyFill="1" applyBorder="1" applyAlignment="1">
      <alignment vertical="center"/>
    </xf>
    <xf numFmtId="0" fontId="10" fillId="0" borderId="1" xfId="9" applyFont="1" applyFill="1" applyBorder="1" applyAlignment="1">
      <alignment horizontal="left" wrapText="1"/>
    </xf>
    <xf numFmtId="0" fontId="10" fillId="0" borderId="16" xfId="6" applyFont="1" applyFill="1" applyBorder="1" applyAlignment="1">
      <alignment wrapText="1"/>
    </xf>
    <xf numFmtId="0" fontId="10" fillId="0" borderId="21" xfId="6" applyFont="1" applyFill="1" applyBorder="1" applyAlignment="1">
      <alignment wrapText="1"/>
    </xf>
    <xf numFmtId="2" fontId="0" fillId="0" borderId="0" xfId="0" applyNumberFormat="1"/>
    <xf numFmtId="2" fontId="0" fillId="0" borderId="16" xfId="0" applyNumberFormat="1" applyBorder="1" applyAlignment="1" applyProtection="1">
      <alignment horizontal="center"/>
    </xf>
    <xf numFmtId="2" fontId="0" fillId="0" borderId="16" xfId="0" applyNumberFormat="1" applyBorder="1" applyAlignment="1">
      <alignment horizontal="center"/>
    </xf>
    <xf numFmtId="0" fontId="0" fillId="2" borderId="0" xfId="0" applyFill="1"/>
    <xf numFmtId="2" fontId="0" fillId="0" borderId="0" xfId="0" applyNumberFormat="1" applyAlignment="1">
      <alignment horizontal="center"/>
    </xf>
    <xf numFmtId="17" fontId="0" fillId="2" borderId="0" xfId="0" applyNumberFormat="1" applyFill="1" applyAlignment="1">
      <alignment horizontal="center"/>
    </xf>
    <xf numFmtId="0" fontId="10" fillId="0" borderId="1" xfId="10" applyFont="1" applyFill="1" applyBorder="1" applyAlignment="1">
      <alignment wrapText="1"/>
    </xf>
    <xf numFmtId="0" fontId="10" fillId="0" borderId="16" xfId="10" applyFont="1" applyFill="1" applyBorder="1" applyAlignment="1">
      <alignment wrapText="1"/>
    </xf>
    <xf numFmtId="0" fontId="10" fillId="0" borderId="16" xfId="10" applyFont="1" applyFill="1" applyBorder="1" applyAlignment="1">
      <alignment horizontal="center" wrapText="1"/>
    </xf>
    <xf numFmtId="0" fontId="30" fillId="0" borderId="29" xfId="4" applyFont="1" applyFill="1" applyBorder="1" applyAlignment="1">
      <alignment horizontal="center" wrapText="1"/>
    </xf>
    <xf numFmtId="0" fontId="30" fillId="0" borderId="16" xfId="4" applyFont="1" applyFill="1" applyBorder="1" applyAlignment="1">
      <alignment horizontal="center" wrapText="1"/>
    </xf>
    <xf numFmtId="0" fontId="30" fillId="0" borderId="16" xfId="6" applyFont="1" applyFill="1" applyBorder="1" applyAlignment="1">
      <alignment horizontal="center" wrapText="1"/>
    </xf>
    <xf numFmtId="0" fontId="30" fillId="0" borderId="33" xfId="4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0" borderId="21" xfId="6" applyFont="1" applyFill="1" applyBorder="1" applyAlignment="1">
      <alignment horizontal="center" wrapText="1"/>
    </xf>
    <xf numFmtId="0" fontId="10" fillId="0" borderId="16" xfId="6" applyFont="1" applyFill="1" applyBorder="1" applyAlignment="1">
      <alignment horizontal="center" wrapText="1"/>
    </xf>
    <xf numFmtId="0" fontId="2" fillId="8" borderId="41" xfId="5" applyFont="1" applyFill="1" applyBorder="1" applyAlignment="1">
      <alignment horizontal="center" vertical="center" wrapText="1"/>
    </xf>
    <xf numFmtId="0" fontId="2" fillId="4" borderId="42" xfId="5" applyFont="1" applyFill="1" applyBorder="1" applyAlignment="1">
      <alignment vertical="center"/>
    </xf>
    <xf numFmtId="43" fontId="2" fillId="4" borderId="43" xfId="1" applyFont="1" applyFill="1" applyBorder="1" applyAlignment="1">
      <alignment vertical="center"/>
    </xf>
    <xf numFmtId="43" fontId="2" fillId="4" borderId="42" xfId="1" applyFont="1" applyFill="1" applyBorder="1" applyAlignment="1">
      <alignment vertical="center"/>
    </xf>
    <xf numFmtId="10" fontId="2" fillId="4" borderId="42" xfId="11" applyNumberFormat="1" applyFont="1" applyFill="1" applyBorder="1" applyAlignment="1">
      <alignment vertical="center"/>
    </xf>
    <xf numFmtId="43" fontId="2" fillId="9" borderId="42" xfId="1" applyFont="1" applyFill="1" applyBorder="1" applyAlignment="1">
      <alignment vertical="center"/>
    </xf>
    <xf numFmtId="0" fontId="8" fillId="0" borderId="16" xfId="5" applyBorder="1"/>
    <xf numFmtId="0" fontId="8" fillId="11" borderId="16" xfId="5" applyFill="1" applyBorder="1"/>
    <xf numFmtId="0" fontId="5" fillId="2" borderId="0" xfId="0" applyFont="1" applyFill="1" applyBorder="1"/>
    <xf numFmtId="182" fontId="5" fillId="2" borderId="0" xfId="0" applyNumberFormat="1" applyFont="1" applyFill="1" applyBorder="1"/>
    <xf numFmtId="0" fontId="2" fillId="2" borderId="0" xfId="0" applyFont="1" applyFill="1" applyBorder="1" applyAlignment="1" applyProtection="1">
      <alignment horizontal="center"/>
    </xf>
    <xf numFmtId="179" fontId="5" fillId="2" borderId="0" xfId="0" applyNumberFormat="1" applyFont="1" applyFill="1" applyBorder="1"/>
    <xf numFmtId="0" fontId="10" fillId="0" borderId="16" xfId="7" applyFont="1" applyFill="1" applyBorder="1" applyAlignment="1">
      <alignment wrapText="1"/>
    </xf>
    <xf numFmtId="4" fontId="8" fillId="0" borderId="16" xfId="5" applyNumberFormat="1" applyBorder="1"/>
    <xf numFmtId="10" fontId="8" fillId="0" borderId="16" xfId="5" applyNumberFormat="1" applyBorder="1"/>
    <xf numFmtId="0" fontId="0" fillId="0" borderId="0" xfId="0" applyFill="1"/>
    <xf numFmtId="0" fontId="10" fillId="0" borderId="16" xfId="7" applyFont="1" applyFill="1" applyBorder="1" applyAlignment="1">
      <alignment horizontal="center" wrapText="1"/>
    </xf>
    <xf numFmtId="0" fontId="2" fillId="0" borderId="16" xfId="6" applyFont="1" applyFill="1" applyBorder="1" applyAlignment="1">
      <alignment wrapText="1"/>
    </xf>
    <xf numFmtId="0" fontId="32" fillId="0" borderId="33" xfId="0" applyFont="1" applyBorder="1" applyAlignment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2" fillId="0" borderId="16" xfId="6" applyFont="1" applyFill="1" applyBorder="1" applyAlignment="1">
      <alignment horizontal="center" wrapText="1"/>
    </xf>
    <xf numFmtId="0" fontId="1" fillId="0" borderId="44" xfId="0" applyFont="1" applyFill="1" applyBorder="1" applyAlignment="1" applyProtection="1">
      <alignment wrapText="1"/>
    </xf>
    <xf numFmtId="0" fontId="10" fillId="0" borderId="45" xfId="9" applyFont="1" applyFill="1" applyBorder="1" applyAlignment="1">
      <alignment horizontal="left" wrapText="1"/>
    </xf>
    <xf numFmtId="0" fontId="10" fillId="0" borderId="16" xfId="9" applyFont="1" applyFill="1" applyBorder="1" applyAlignment="1">
      <alignment horizontal="left" wrapText="1"/>
    </xf>
    <xf numFmtId="0" fontId="1" fillId="3" borderId="20" xfId="0" applyFont="1" applyFill="1" applyBorder="1" applyAlignment="1" applyProtection="1">
      <alignment horizont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188" fontId="7" fillId="0" borderId="48" xfId="1" applyNumberFormat="1" applyFont="1" applyFill="1" applyBorder="1" applyAlignment="1">
      <alignment horizontal="center" vertical="center" wrapText="1"/>
    </xf>
    <xf numFmtId="0" fontId="33" fillId="0" borderId="0" xfId="0" applyFont="1"/>
    <xf numFmtId="188" fontId="3" fillId="0" borderId="0" xfId="1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0" fontId="2" fillId="10" borderId="3" xfId="0" applyFont="1" applyFill="1" applyBorder="1" applyAlignment="1" applyProtection="1"/>
    <xf numFmtId="181" fontId="2" fillId="10" borderId="3" xfId="1" applyNumberFormat="1" applyFont="1" applyFill="1" applyBorder="1" applyProtection="1"/>
    <xf numFmtId="174" fontId="3" fillId="0" borderId="2" xfId="1" applyNumberFormat="1" applyFont="1" applyBorder="1" applyProtection="1"/>
    <xf numFmtId="0" fontId="3" fillId="0" borderId="0" xfId="0" applyFont="1" applyFill="1" applyProtection="1"/>
    <xf numFmtId="181" fontId="3" fillId="0" borderId="0" xfId="1" applyNumberFormat="1" applyFont="1" applyFill="1" applyProtection="1"/>
    <xf numFmtId="0" fontId="3" fillId="10" borderId="3" xfId="0" applyFont="1" applyFill="1" applyBorder="1" applyAlignment="1" applyProtection="1"/>
    <xf numFmtId="181" fontId="3" fillId="10" borderId="3" xfId="1" applyNumberFormat="1" applyFont="1" applyFill="1" applyBorder="1" applyProtection="1"/>
    <xf numFmtId="181" fontId="2" fillId="10" borderId="3" xfId="1" applyNumberFormat="1" applyFont="1" applyFill="1" applyBorder="1" applyAlignment="1" applyProtection="1"/>
    <xf numFmtId="0" fontId="8" fillId="7" borderId="0" xfId="5" applyFill="1"/>
    <xf numFmtId="0" fontId="8" fillId="7" borderId="0" xfId="5" applyFont="1" applyFill="1" applyAlignment="1">
      <alignment horizontal="center"/>
    </xf>
    <xf numFmtId="0" fontId="8" fillId="7" borderId="0" xfId="5" applyFill="1" applyAlignment="1">
      <alignment horizontal="center"/>
    </xf>
    <xf numFmtId="173" fontId="1" fillId="0" borderId="0" xfId="0" applyNumberFormat="1" applyFont="1" applyAlignment="1" applyProtection="1">
      <alignment horizontal="left"/>
    </xf>
    <xf numFmtId="0" fontId="3" fillId="0" borderId="20" xfId="0" applyFont="1" applyFill="1" applyBorder="1" applyAlignment="1" applyProtection="1">
      <alignment horizontal="center"/>
    </xf>
    <xf numFmtId="0" fontId="1" fillId="0" borderId="16" xfId="6" applyFont="1" applyFill="1" applyBorder="1" applyAlignment="1">
      <alignment wrapText="1"/>
    </xf>
    <xf numFmtId="0" fontId="1" fillId="0" borderId="16" xfId="6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0" fillId="12" borderId="16" xfId="4" applyFont="1" applyFill="1" applyBorder="1" applyAlignment="1">
      <alignment horizontal="center" wrapText="1"/>
    </xf>
    <xf numFmtId="0" fontId="30" fillId="12" borderId="20" xfId="4" applyFont="1" applyFill="1" applyBorder="1" applyAlignment="1">
      <alignment horizontal="center" wrapText="1"/>
    </xf>
    <xf numFmtId="0" fontId="30" fillId="12" borderId="20" xfId="6" applyFont="1" applyFill="1" applyBorder="1" applyAlignment="1">
      <alignment horizontal="center" wrapText="1"/>
    </xf>
    <xf numFmtId="0" fontId="30" fillId="12" borderId="49" xfId="4" applyFont="1" applyFill="1" applyBorder="1" applyAlignment="1">
      <alignment horizontal="center" wrapText="1"/>
    </xf>
    <xf numFmtId="0" fontId="30" fillId="0" borderId="28" xfId="4" applyFont="1" applyFill="1" applyBorder="1" applyAlignment="1">
      <alignment horizontal="center" wrapText="1"/>
    </xf>
    <xf numFmtId="0" fontId="30" fillId="0" borderId="20" xfId="4" applyFont="1" applyFill="1" applyBorder="1" applyAlignment="1">
      <alignment horizontal="center" wrapText="1"/>
    </xf>
    <xf numFmtId="0" fontId="30" fillId="0" borderId="49" xfId="4" applyFont="1" applyFill="1" applyBorder="1" applyAlignment="1">
      <alignment horizontal="center" wrapText="1"/>
    </xf>
    <xf numFmtId="0" fontId="30" fillId="0" borderId="21" xfId="4" applyFont="1" applyFill="1" applyBorder="1" applyAlignment="1">
      <alignment horizontal="center" wrapText="1"/>
    </xf>
    <xf numFmtId="0" fontId="3" fillId="13" borderId="16" xfId="0" applyFont="1" applyFill="1" applyBorder="1" applyAlignment="1" applyProtection="1">
      <alignment horizontal="center"/>
    </xf>
    <xf numFmtId="0" fontId="10" fillId="14" borderId="16" xfId="7" applyFont="1" applyFill="1" applyBorder="1" applyAlignment="1">
      <alignment horizontal="center" wrapText="1"/>
    </xf>
    <xf numFmtId="17" fontId="7" fillId="0" borderId="0" xfId="1" applyNumberFormat="1" applyFont="1" applyAlignment="1" applyProtection="1">
      <alignment horizontal="center"/>
    </xf>
    <xf numFmtId="173" fontId="1" fillId="0" borderId="0" xfId="0" applyNumberFormat="1" applyFont="1" applyFill="1" applyAlignment="1" applyProtection="1">
      <alignment horizontal="left"/>
    </xf>
    <xf numFmtId="173" fontId="1" fillId="3" borderId="0" xfId="0" applyNumberFormat="1" applyFont="1" applyFill="1" applyAlignment="1" applyProtection="1">
      <alignment horizontal="left"/>
    </xf>
    <xf numFmtId="0" fontId="1" fillId="0" borderId="20" xfId="0" applyFont="1" applyFill="1" applyBorder="1" applyAlignment="1" applyProtection="1">
      <alignment horizontal="center" vertical="center"/>
    </xf>
    <xf numFmtId="0" fontId="5" fillId="0" borderId="0" xfId="0" applyFont="1" applyAlignment="1">
      <alignment wrapText="1"/>
    </xf>
    <xf numFmtId="0" fontId="6" fillId="6" borderId="30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wrapText="1"/>
    </xf>
    <xf numFmtId="0" fontId="3" fillId="3" borderId="16" xfId="0" applyFont="1" applyFill="1" applyBorder="1" applyAlignment="1" applyProtection="1">
      <alignment wrapText="1"/>
    </xf>
    <xf numFmtId="0" fontId="3" fillId="0" borderId="16" xfId="0" applyFont="1" applyFill="1" applyBorder="1" applyAlignment="1" applyProtection="1">
      <alignment vertical="center" wrapText="1"/>
    </xf>
    <xf numFmtId="0" fontId="3" fillId="7" borderId="16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wrapText="1"/>
    </xf>
    <xf numFmtId="0" fontId="3" fillId="0" borderId="16" xfId="0" applyFont="1" applyFill="1" applyBorder="1" applyAlignment="1" applyProtection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1" fillId="0" borderId="16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5" fillId="15" borderId="0" xfId="0" applyFont="1" applyFill="1" applyAlignment="1">
      <alignment wrapText="1"/>
    </xf>
    <xf numFmtId="17" fontId="6" fillId="0" borderId="0" xfId="1" applyNumberFormat="1" applyFont="1" applyAlignment="1" applyProtection="1">
      <alignment horizontal="center" wrapText="1"/>
    </xf>
    <xf numFmtId="188" fontId="5" fillId="0" borderId="0" xfId="1" applyNumberFormat="1" applyFont="1" applyAlignment="1">
      <alignment wrapText="1"/>
    </xf>
    <xf numFmtId="189" fontId="3" fillId="0" borderId="0" xfId="1" applyNumberFormat="1" applyFont="1" applyAlignment="1">
      <alignment wrapText="1"/>
    </xf>
    <xf numFmtId="174" fontId="5" fillId="0" borderId="0" xfId="1" applyNumberFormat="1" applyFont="1" applyAlignment="1">
      <alignment wrapText="1"/>
    </xf>
    <xf numFmtId="177" fontId="5" fillId="0" borderId="0" xfId="2" applyNumberFormat="1" applyFont="1" applyAlignment="1">
      <alignment wrapText="1"/>
    </xf>
    <xf numFmtId="188" fontId="5" fillId="11" borderId="0" xfId="1" applyNumberFormat="1" applyFont="1" applyFill="1" applyBorder="1" applyAlignment="1">
      <alignment wrapText="1"/>
    </xf>
    <xf numFmtId="177" fontId="6" fillId="6" borderId="50" xfId="2" applyNumberFormat="1" applyFont="1" applyFill="1" applyBorder="1" applyAlignment="1">
      <alignment horizontal="center" vertical="center" wrapText="1"/>
    </xf>
    <xf numFmtId="188" fontId="6" fillId="6" borderId="51" xfId="1" applyNumberFormat="1" applyFont="1" applyFill="1" applyBorder="1" applyAlignment="1" applyProtection="1">
      <alignment horizontal="center" vertical="center" wrapText="1"/>
    </xf>
    <xf numFmtId="189" fontId="6" fillId="6" borderId="52" xfId="1" applyNumberFormat="1" applyFont="1" applyFill="1" applyBorder="1" applyAlignment="1">
      <alignment horizontal="center" vertical="center" wrapText="1"/>
    </xf>
    <xf numFmtId="174" fontId="6" fillId="6" borderId="53" xfId="1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wrapText="1"/>
    </xf>
    <xf numFmtId="177" fontId="6" fillId="6" borderId="30" xfId="2" applyNumberFormat="1" applyFont="1" applyFill="1" applyBorder="1" applyAlignment="1">
      <alignment horizontal="center" vertical="center" wrapText="1"/>
    </xf>
    <xf numFmtId="172" fontId="5" fillId="7" borderId="16" xfId="0" applyNumberFormat="1" applyFont="1" applyFill="1" applyBorder="1" applyAlignment="1">
      <alignment wrapText="1"/>
    </xf>
    <xf numFmtId="188" fontId="22" fillId="0" borderId="54" xfId="0" applyNumberFormat="1" applyFont="1" applyFill="1" applyBorder="1" applyAlignment="1" applyProtection="1">
      <alignment wrapText="1"/>
      <protection locked="0"/>
    </xf>
    <xf numFmtId="189" fontId="18" fillId="0" borderId="29" xfId="0" applyNumberFormat="1" applyFont="1" applyFill="1" applyBorder="1" applyAlignment="1" applyProtection="1">
      <alignment wrapText="1"/>
      <protection locked="0"/>
    </xf>
    <xf numFmtId="180" fontId="18" fillId="3" borderId="55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Alignment="1">
      <alignment wrapText="1"/>
    </xf>
    <xf numFmtId="2" fontId="5" fillId="0" borderId="0" xfId="0" applyNumberFormat="1" applyFont="1" applyAlignment="1">
      <alignment wrapText="1"/>
    </xf>
    <xf numFmtId="188" fontId="22" fillId="0" borderId="56" xfId="0" applyNumberFormat="1" applyFont="1" applyFill="1" applyBorder="1" applyAlignment="1" applyProtection="1">
      <alignment wrapText="1"/>
      <protection locked="0"/>
    </xf>
    <xf numFmtId="189" fontId="18" fillId="0" borderId="16" xfId="0" applyNumberFormat="1" applyFont="1" applyFill="1" applyBorder="1" applyAlignment="1" applyProtection="1">
      <alignment wrapText="1"/>
      <protection locked="0"/>
    </xf>
    <xf numFmtId="180" fontId="18" fillId="3" borderId="24" xfId="0" applyNumberFormat="1" applyFont="1" applyFill="1" applyBorder="1" applyAlignment="1" applyProtection="1">
      <alignment wrapText="1"/>
      <protection locked="0"/>
    </xf>
    <xf numFmtId="180" fontId="5" fillId="0" borderId="0" xfId="0" applyNumberFormat="1" applyFont="1" applyAlignment="1">
      <alignment wrapText="1"/>
    </xf>
    <xf numFmtId="189" fontId="18" fillId="3" borderId="16" xfId="0" applyNumberFormat="1" applyFont="1" applyFill="1" applyBorder="1" applyAlignment="1" applyProtection="1">
      <alignment wrapText="1"/>
      <protection locked="0"/>
    </xf>
    <xf numFmtId="180" fontId="18" fillId="3" borderId="24" xfId="2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188" fontId="18" fillId="0" borderId="56" xfId="0" applyNumberFormat="1" applyFont="1" applyFill="1" applyBorder="1" applyAlignment="1" applyProtection="1">
      <alignment wrapText="1"/>
      <protection locked="0"/>
    </xf>
    <xf numFmtId="188" fontId="18" fillId="15" borderId="56" xfId="2" applyNumberFormat="1" applyFont="1" applyFill="1" applyBorder="1" applyAlignment="1">
      <alignment wrapText="1"/>
    </xf>
    <xf numFmtId="177" fontId="18" fillId="3" borderId="24" xfId="2" applyNumberFormat="1" applyFont="1" applyFill="1" applyBorder="1" applyAlignment="1">
      <alignment wrapText="1"/>
    </xf>
    <xf numFmtId="188" fontId="22" fillId="3" borderId="56" xfId="0" applyNumberFormat="1" applyFont="1" applyFill="1" applyBorder="1" applyAlignment="1" applyProtection="1">
      <alignment wrapText="1"/>
      <protection locked="0"/>
    </xf>
    <xf numFmtId="189" fontId="18" fillId="0" borderId="16" xfId="0" applyNumberFormat="1" applyFont="1" applyBorder="1" applyAlignment="1" applyProtection="1">
      <alignment wrapText="1"/>
      <protection locked="0"/>
    </xf>
    <xf numFmtId="0" fontId="18" fillId="3" borderId="24" xfId="0" applyFont="1" applyFill="1" applyBorder="1" applyAlignment="1" applyProtection="1">
      <alignment wrapText="1"/>
      <protection locked="0"/>
    </xf>
    <xf numFmtId="0" fontId="5" fillId="3" borderId="0" xfId="0" applyFont="1" applyFill="1" applyAlignment="1">
      <alignment wrapText="1"/>
    </xf>
    <xf numFmtId="180" fontId="22" fillId="3" borderId="24" xfId="0" applyNumberFormat="1" applyFont="1" applyFill="1" applyBorder="1" applyAlignment="1" applyProtection="1">
      <alignment wrapText="1"/>
      <protection locked="0"/>
    </xf>
    <xf numFmtId="180" fontId="18" fillId="0" borderId="24" xfId="0" applyNumberFormat="1" applyFont="1" applyBorder="1" applyAlignment="1" applyProtection="1">
      <alignment wrapText="1"/>
      <protection locked="0"/>
    </xf>
    <xf numFmtId="188" fontId="18" fillId="3" borderId="56" xfId="0" applyNumberFormat="1" applyFont="1" applyFill="1" applyBorder="1" applyAlignment="1" applyProtection="1">
      <alignment wrapText="1"/>
      <protection locked="0"/>
    </xf>
    <xf numFmtId="180" fontId="22" fillId="3" borderId="24" xfId="2" applyNumberFormat="1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180" fontId="18" fillId="0" borderId="24" xfId="0" applyNumberFormat="1" applyFont="1" applyFill="1" applyBorder="1" applyAlignment="1" applyProtection="1">
      <alignment wrapText="1"/>
      <protection locked="0"/>
    </xf>
    <xf numFmtId="0" fontId="18" fillId="0" borderId="24" xfId="0" applyFont="1" applyFill="1" applyBorder="1" applyAlignment="1" applyProtection="1">
      <alignment wrapText="1"/>
      <protection locked="0"/>
    </xf>
    <xf numFmtId="0" fontId="20" fillId="0" borderId="0" xfId="0" applyFont="1" applyAlignment="1">
      <alignment wrapText="1"/>
    </xf>
    <xf numFmtId="180" fontId="3" fillId="0" borderId="11" xfId="0" applyNumberFormat="1" applyFont="1" applyFill="1" applyBorder="1" applyAlignment="1" applyProtection="1">
      <alignment wrapText="1"/>
      <protection locked="0"/>
    </xf>
    <xf numFmtId="188" fontId="23" fillId="0" borderId="56" xfId="2" applyNumberFormat="1" applyFont="1" applyFill="1" applyBorder="1" applyAlignment="1">
      <alignment horizontal="right" wrapText="1"/>
    </xf>
    <xf numFmtId="188" fontId="22" fillId="0" borderId="56" xfId="1" applyNumberFormat="1" applyFont="1" applyBorder="1" applyAlignment="1">
      <alignment wrapText="1"/>
    </xf>
    <xf numFmtId="188" fontId="22" fillId="0" borderId="56" xfId="0" applyNumberFormat="1" applyFont="1" applyBorder="1" applyAlignment="1" applyProtection="1">
      <alignment horizontal="right" wrapText="1"/>
      <protection locked="0"/>
    </xf>
    <xf numFmtId="189" fontId="18" fillId="0" borderId="16" xfId="0" applyNumberFormat="1" applyFont="1" applyFill="1" applyBorder="1" applyAlignment="1" applyProtection="1">
      <alignment horizontal="right" wrapText="1"/>
      <protection locked="0"/>
    </xf>
    <xf numFmtId="188" fontId="22" fillId="0" borderId="56" xfId="0" applyNumberFormat="1" applyFont="1" applyBorder="1" applyAlignment="1" applyProtection="1">
      <alignment wrapText="1"/>
      <protection locked="0"/>
    </xf>
    <xf numFmtId="189" fontId="18" fillId="0" borderId="16" xfId="0" applyNumberFormat="1" applyFont="1" applyFill="1" applyBorder="1" applyAlignment="1">
      <alignment vertical="center" wrapText="1"/>
    </xf>
    <xf numFmtId="188" fontId="18" fillId="0" borderId="56" xfId="0" applyNumberFormat="1" applyFont="1" applyBorder="1" applyAlignment="1" applyProtection="1">
      <alignment wrapText="1"/>
      <protection locked="0"/>
    </xf>
    <xf numFmtId="174" fontId="22" fillId="0" borderId="16" xfId="0" applyNumberFormat="1" applyFont="1" applyFill="1" applyBorder="1" applyAlignment="1">
      <alignment vertical="center" wrapText="1"/>
    </xf>
    <xf numFmtId="174" fontId="27" fillId="0" borderId="16" xfId="0" applyNumberFormat="1" applyFont="1" applyFill="1" applyBorder="1" applyAlignment="1">
      <alignment vertical="center" wrapText="1"/>
    </xf>
    <xf numFmtId="174" fontId="18" fillId="0" borderId="16" xfId="0" applyNumberFormat="1" applyFont="1" applyFill="1" applyBorder="1" applyAlignment="1">
      <alignment vertical="center" wrapText="1"/>
    </xf>
    <xf numFmtId="188" fontId="27" fillId="0" borderId="56" xfId="0" applyNumberFormat="1" applyFont="1" applyBorder="1" applyAlignment="1" applyProtection="1">
      <alignment wrapText="1"/>
      <protection locked="0"/>
    </xf>
    <xf numFmtId="0" fontId="18" fillId="3" borderId="24" xfId="0" applyFont="1" applyFill="1" applyBorder="1" applyAlignment="1" applyProtection="1">
      <alignment wrapText="1"/>
    </xf>
    <xf numFmtId="188" fontId="27" fillId="0" borderId="56" xfId="0" applyNumberFormat="1" applyFont="1" applyFill="1" applyBorder="1" applyAlignment="1" applyProtection="1">
      <alignment wrapText="1"/>
      <protection locked="0"/>
    </xf>
    <xf numFmtId="189" fontId="18" fillId="3" borderId="16" xfId="0" applyNumberFormat="1" applyFont="1" applyFill="1" applyBorder="1" applyAlignment="1" applyProtection="1">
      <alignment wrapText="1"/>
    </xf>
    <xf numFmtId="174" fontId="18" fillId="3" borderId="24" xfId="1" applyNumberFormat="1" applyFont="1" applyFill="1" applyBorder="1" applyAlignment="1" applyProtection="1">
      <alignment wrapText="1"/>
    </xf>
    <xf numFmtId="189" fontId="18" fillId="3" borderId="16" xfId="1" applyNumberFormat="1" applyFont="1" applyFill="1" applyBorder="1" applyAlignment="1" applyProtection="1">
      <alignment wrapText="1"/>
    </xf>
    <xf numFmtId="174" fontId="18" fillId="3" borderId="24" xfId="1" applyNumberFormat="1" applyFont="1" applyFill="1" applyBorder="1" applyAlignment="1" applyProtection="1">
      <alignment wrapText="1"/>
      <protection locked="0"/>
    </xf>
    <xf numFmtId="189" fontId="18" fillId="3" borderId="16" xfId="1" applyNumberFormat="1" applyFont="1" applyFill="1" applyBorder="1" applyAlignment="1" applyProtection="1">
      <alignment wrapText="1"/>
      <protection locked="0"/>
    </xf>
    <xf numFmtId="0" fontId="3" fillId="3" borderId="0" xfId="0" applyFont="1" applyFill="1" applyAlignment="1">
      <alignment wrapText="1"/>
    </xf>
    <xf numFmtId="179" fontId="5" fillId="0" borderId="0" xfId="0" applyNumberFormat="1" applyFont="1" applyAlignment="1">
      <alignment wrapText="1"/>
    </xf>
    <xf numFmtId="0" fontId="10" fillId="16" borderId="57" xfId="8" applyFont="1" applyFill="1" applyBorder="1" applyAlignment="1">
      <alignment horizontal="center" wrapText="1"/>
    </xf>
    <xf numFmtId="188" fontId="27" fillId="0" borderId="56" xfId="1" applyNumberFormat="1" applyFont="1" applyFill="1" applyBorder="1" applyAlignment="1" applyProtection="1">
      <alignment wrapText="1"/>
      <protection locked="0"/>
    </xf>
    <xf numFmtId="188" fontId="18" fillId="10" borderId="56" xfId="1" applyNumberFormat="1" applyFont="1" applyFill="1" applyBorder="1" applyAlignment="1" applyProtection="1">
      <alignment wrapText="1"/>
    </xf>
    <xf numFmtId="189" fontId="20" fillId="3" borderId="16" xfId="1" applyNumberFormat="1" applyFont="1" applyFill="1" applyBorder="1" applyAlignment="1" applyProtection="1">
      <alignment wrapText="1"/>
    </xf>
    <xf numFmtId="174" fontId="18" fillId="3" borderId="58" xfId="1" quotePrefix="1" applyNumberFormat="1" applyFont="1" applyFill="1" applyBorder="1" applyAlignment="1" applyProtection="1">
      <alignment wrapText="1"/>
      <protection locked="0"/>
    </xf>
    <xf numFmtId="188" fontId="18" fillId="3" borderId="56" xfId="1" applyNumberFormat="1" applyFont="1" applyFill="1" applyBorder="1" applyAlignment="1" applyProtection="1">
      <alignment wrapText="1"/>
      <protection locked="0"/>
    </xf>
    <xf numFmtId="174" fontId="27" fillId="3" borderId="24" xfId="1" quotePrefix="1" applyNumberFormat="1" applyFont="1" applyFill="1" applyBorder="1" applyAlignment="1" applyProtection="1">
      <alignment wrapText="1"/>
      <protection locked="0"/>
    </xf>
    <xf numFmtId="0" fontId="3" fillId="10" borderId="0" xfId="0" applyFont="1" applyFill="1" applyAlignment="1">
      <alignment wrapText="1"/>
    </xf>
    <xf numFmtId="177" fontId="27" fillId="2" borderId="24" xfId="2" applyNumberFormat="1" applyFont="1" applyFill="1" applyBorder="1" applyAlignment="1">
      <alignment wrapText="1"/>
    </xf>
    <xf numFmtId="174" fontId="18" fillId="2" borderId="24" xfId="1" applyNumberFormat="1" applyFont="1" applyFill="1" applyBorder="1" applyAlignment="1" applyProtection="1">
      <alignment wrapText="1"/>
    </xf>
    <xf numFmtId="177" fontId="18" fillId="2" borderId="24" xfId="2" applyNumberFormat="1" applyFont="1" applyFill="1" applyBorder="1" applyAlignment="1" applyProtection="1">
      <alignment wrapText="1"/>
    </xf>
    <xf numFmtId="188" fontId="20" fillId="17" borderId="56" xfId="1" applyNumberFormat="1" applyFont="1" applyFill="1" applyBorder="1" applyAlignment="1">
      <alignment wrapText="1"/>
    </xf>
    <xf numFmtId="189" fontId="18" fillId="17" borderId="16" xfId="1" applyNumberFormat="1" applyFont="1" applyFill="1" applyBorder="1" applyAlignment="1" applyProtection="1">
      <alignment wrapText="1"/>
      <protection locked="0"/>
    </xf>
    <xf numFmtId="174" fontId="18" fillId="3" borderId="10" xfId="1" quotePrefix="1" applyNumberFormat="1" applyFont="1" applyFill="1" applyBorder="1" applyAlignment="1" applyProtection="1">
      <alignment wrapText="1"/>
      <protection locked="0"/>
    </xf>
    <xf numFmtId="188" fontId="27" fillId="11" borderId="56" xfId="1" applyNumberFormat="1" applyFont="1" applyFill="1" applyBorder="1" applyAlignment="1" applyProtection="1">
      <alignment wrapText="1"/>
      <protection locked="0"/>
    </xf>
    <xf numFmtId="188" fontId="18" fillId="0" borderId="56" xfId="1" applyNumberFormat="1" applyFont="1" applyFill="1" applyBorder="1" applyAlignment="1" applyProtection="1">
      <alignment wrapText="1"/>
      <protection locked="0"/>
    </xf>
    <xf numFmtId="0" fontId="5" fillId="11" borderId="0" xfId="0" applyFont="1" applyFill="1" applyAlignment="1">
      <alignment horizontal="center" wrapText="1"/>
    </xf>
    <xf numFmtId="0" fontId="5" fillId="11" borderId="0" xfId="0" applyFont="1" applyFill="1" applyAlignment="1">
      <alignment wrapText="1"/>
    </xf>
    <xf numFmtId="174" fontId="27" fillId="2" borderId="24" xfId="1" quotePrefix="1" applyNumberFormat="1" applyFont="1" applyFill="1" applyBorder="1" applyAlignment="1" applyProtection="1">
      <alignment wrapText="1"/>
      <protection locked="0"/>
    </xf>
    <xf numFmtId="0" fontId="5" fillId="10" borderId="0" xfId="0" applyFont="1" applyFill="1" applyAlignment="1">
      <alignment wrapText="1"/>
    </xf>
    <xf numFmtId="0" fontId="3" fillId="3" borderId="11" xfId="0" applyFont="1" applyFill="1" applyBorder="1" applyAlignment="1" applyProtection="1">
      <alignment wrapText="1"/>
    </xf>
    <xf numFmtId="174" fontId="27" fillId="2" borderId="24" xfId="1" applyNumberFormat="1" applyFont="1" applyFill="1" applyBorder="1" applyAlignment="1" applyProtection="1">
      <alignment wrapText="1"/>
      <protection locked="0"/>
    </xf>
    <xf numFmtId="174" fontId="5" fillId="0" borderId="0" xfId="0" applyNumberFormat="1" applyFont="1" applyAlignment="1">
      <alignment wrapText="1"/>
    </xf>
    <xf numFmtId="188" fontId="27" fillId="11" borderId="56" xfId="0" applyNumberFormat="1" applyFont="1" applyFill="1" applyBorder="1" applyAlignment="1">
      <alignment wrapText="1"/>
    </xf>
    <xf numFmtId="0" fontId="18" fillId="0" borderId="24" xfId="0" applyFont="1" applyBorder="1" applyAlignment="1">
      <alignment wrapText="1"/>
    </xf>
    <xf numFmtId="174" fontId="18" fillId="0" borderId="24" xfId="1" applyNumberFormat="1" applyFont="1" applyFill="1" applyBorder="1" applyAlignment="1" applyProtection="1">
      <alignment wrapText="1"/>
      <protection locked="0"/>
    </xf>
    <xf numFmtId="188" fontId="27" fillId="11" borderId="56" xfId="1" applyNumberFormat="1" applyFont="1" applyFill="1" applyBorder="1" applyAlignment="1" applyProtection="1">
      <alignment wrapText="1"/>
    </xf>
    <xf numFmtId="188" fontId="27" fillId="11" borderId="56" xfId="11" applyNumberFormat="1" applyFont="1" applyFill="1" applyBorder="1" applyAlignment="1" applyProtection="1">
      <alignment wrapText="1"/>
      <protection locked="0"/>
    </xf>
    <xf numFmtId="188" fontId="22" fillId="0" borderId="56" xfId="1" applyNumberFormat="1" applyFont="1" applyFill="1" applyBorder="1" applyAlignment="1" applyProtection="1">
      <alignment wrapText="1"/>
      <protection locked="0"/>
    </xf>
    <xf numFmtId="188" fontId="27" fillId="2" borderId="56" xfId="1" applyNumberFormat="1" applyFont="1" applyFill="1" applyBorder="1" applyAlignment="1" applyProtection="1">
      <alignment wrapText="1"/>
      <protection locked="0"/>
    </xf>
    <xf numFmtId="189" fontId="18" fillId="0" borderId="16" xfId="1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188" fontId="27" fillId="0" borderId="56" xfId="0" applyNumberFormat="1" applyFont="1" applyFill="1" applyBorder="1" applyAlignment="1">
      <alignment vertical="center" wrapText="1"/>
    </xf>
    <xf numFmtId="188" fontId="1" fillId="0" borderId="56" xfId="1" applyNumberFormat="1" applyFont="1" applyFill="1" applyBorder="1" applyAlignment="1" applyProtection="1">
      <alignment wrapText="1"/>
      <protection locked="0"/>
    </xf>
    <xf numFmtId="189" fontId="1" fillId="3" borderId="16" xfId="1" applyNumberFormat="1" applyFont="1" applyFill="1" applyBorder="1" applyAlignment="1" applyProtection="1">
      <alignment wrapText="1"/>
      <protection locked="0"/>
    </xf>
    <xf numFmtId="177" fontId="1" fillId="3" borderId="24" xfId="2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88" fontId="18" fillId="0" borderId="56" xfId="0" applyNumberFormat="1" applyFont="1" applyFill="1" applyBorder="1" applyAlignment="1">
      <alignment vertical="center" wrapText="1"/>
    </xf>
    <xf numFmtId="188" fontId="5" fillId="0" borderId="0" xfId="1" applyNumberFormat="1" applyFont="1" applyBorder="1" applyAlignment="1">
      <alignment wrapText="1"/>
    </xf>
    <xf numFmtId="188" fontId="27" fillId="3" borderId="56" xfId="1" applyNumberFormat="1" applyFont="1" applyFill="1" applyBorder="1" applyAlignment="1" applyProtection="1">
      <alignment wrapText="1"/>
      <protection locked="0"/>
    </xf>
    <xf numFmtId="188" fontId="29" fillId="0" borderId="56" xfId="2" applyNumberFormat="1" applyFont="1" applyFill="1" applyBorder="1" applyAlignment="1">
      <alignment wrapText="1"/>
    </xf>
    <xf numFmtId="185" fontId="18" fillId="3" borderId="24" xfId="3" applyNumberFormat="1" applyFont="1" applyFill="1" applyBorder="1" applyAlignment="1" applyProtection="1">
      <alignment wrapText="1"/>
      <protection locked="0"/>
    </xf>
    <xf numFmtId="188" fontId="5" fillId="0" borderId="56" xfId="1" applyNumberFormat="1" applyFont="1" applyBorder="1" applyAlignment="1">
      <alignment wrapText="1"/>
    </xf>
    <xf numFmtId="0" fontId="3" fillId="1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77" fontId="18" fillId="2" borderId="24" xfId="2" applyNumberFormat="1" applyFont="1" applyFill="1" applyBorder="1" applyAlignment="1">
      <alignment wrapText="1"/>
    </xf>
    <xf numFmtId="179" fontId="5" fillId="11" borderId="0" xfId="0" applyNumberFormat="1" applyFont="1" applyFill="1" applyAlignment="1">
      <alignment wrapText="1"/>
    </xf>
    <xf numFmtId="0" fontId="5" fillId="0" borderId="0" xfId="0" quotePrefix="1" applyFont="1" applyAlignment="1">
      <alignment wrapText="1"/>
    </xf>
    <xf numFmtId="10" fontId="5" fillId="0" borderId="0" xfId="0" applyNumberFormat="1" applyFont="1" applyAlignment="1">
      <alignment wrapText="1"/>
    </xf>
    <xf numFmtId="188" fontId="27" fillId="10" borderId="56" xfId="1" applyNumberFormat="1" applyFont="1" applyFill="1" applyBorder="1" applyAlignment="1" applyProtection="1">
      <alignment wrapText="1"/>
    </xf>
    <xf numFmtId="188" fontId="27" fillId="10" borderId="56" xfId="1" applyNumberFormat="1" applyFont="1" applyFill="1" applyBorder="1" applyAlignment="1" applyProtection="1">
      <alignment wrapText="1"/>
      <protection locked="0"/>
    </xf>
    <xf numFmtId="188" fontId="27" fillId="0" borderId="56" xfId="1" applyNumberFormat="1" applyFont="1" applyBorder="1" applyAlignment="1" applyProtection="1">
      <alignment wrapText="1"/>
      <protection locked="0"/>
    </xf>
    <xf numFmtId="188" fontId="27" fillId="18" borderId="56" xfId="1" applyNumberFormat="1" applyFont="1" applyFill="1" applyBorder="1" applyAlignment="1" applyProtection="1">
      <alignment wrapText="1"/>
      <protection locked="0"/>
    </xf>
    <xf numFmtId="0" fontId="5" fillId="6" borderId="0" xfId="0" applyFont="1" applyFill="1" applyAlignment="1">
      <alignment wrapText="1"/>
    </xf>
    <xf numFmtId="0" fontId="5" fillId="6" borderId="0" xfId="0" quotePrefix="1" applyFont="1" applyFill="1" applyAlignment="1">
      <alignment horizontal="right" wrapText="1"/>
    </xf>
    <xf numFmtId="0" fontId="21" fillId="0" borderId="0" xfId="0" applyFont="1" applyAlignment="1">
      <alignment wrapText="1"/>
    </xf>
    <xf numFmtId="2" fontId="3" fillId="10" borderId="0" xfId="0" applyNumberFormat="1" applyFont="1" applyFill="1" applyAlignment="1">
      <alignment wrapText="1"/>
    </xf>
    <xf numFmtId="180" fontId="5" fillId="6" borderId="0" xfId="0" applyNumberFormat="1" applyFont="1" applyFill="1" applyAlignment="1">
      <alignment wrapText="1"/>
    </xf>
    <xf numFmtId="2" fontId="5" fillId="10" borderId="0" xfId="0" applyNumberFormat="1" applyFont="1" applyFill="1" applyAlignment="1">
      <alignment wrapText="1"/>
    </xf>
    <xf numFmtId="180" fontId="5" fillId="2" borderId="0" xfId="0" applyNumberFormat="1" applyFont="1" applyFill="1" applyAlignment="1">
      <alignment wrapText="1"/>
    </xf>
    <xf numFmtId="174" fontId="18" fillId="3" borderId="24" xfId="1" quotePrefix="1" applyNumberFormat="1" applyFont="1" applyFill="1" applyBorder="1" applyAlignment="1" applyProtection="1">
      <alignment wrapText="1"/>
      <protection locked="0"/>
    </xf>
    <xf numFmtId="186" fontId="24" fillId="0" borderId="24" xfId="2" applyNumberFormat="1" applyFont="1" applyBorder="1" applyAlignment="1">
      <alignment wrapText="1"/>
    </xf>
    <xf numFmtId="177" fontId="18" fillId="0" borderId="24" xfId="2" applyNumberFormat="1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177" fontId="3" fillId="10" borderId="10" xfId="2" applyNumberFormat="1" applyFont="1" applyFill="1" applyBorder="1" applyAlignment="1">
      <alignment wrapText="1"/>
    </xf>
    <xf numFmtId="174" fontId="3" fillId="3" borderId="10" xfId="1" quotePrefix="1" applyNumberFormat="1" applyFont="1" applyFill="1" applyBorder="1" applyAlignment="1" applyProtection="1">
      <alignment wrapText="1"/>
      <protection locked="0"/>
    </xf>
    <xf numFmtId="180" fontId="5" fillId="11" borderId="0" xfId="0" applyNumberFormat="1" applyFont="1" applyFill="1" applyAlignment="1">
      <alignment wrapText="1"/>
    </xf>
    <xf numFmtId="189" fontId="20" fillId="0" borderId="16" xfId="0" applyNumberFormat="1" applyFont="1" applyBorder="1" applyAlignment="1">
      <alignment wrapText="1"/>
    </xf>
    <xf numFmtId="189" fontId="10" fillId="0" borderId="16" xfId="8" applyNumberFormat="1" applyFont="1" applyFill="1" applyBorder="1" applyAlignment="1">
      <alignment horizontal="center" wrapText="1"/>
    </xf>
    <xf numFmtId="189" fontId="5" fillId="0" borderId="16" xfId="0" applyNumberFormat="1" applyFont="1" applyBorder="1" applyAlignment="1">
      <alignment wrapText="1"/>
    </xf>
    <xf numFmtId="174" fontId="18" fillId="0" borderId="24" xfId="1" applyNumberFormat="1" applyFont="1" applyBorder="1" applyAlignment="1" applyProtection="1">
      <alignment wrapText="1"/>
      <protection locked="0"/>
    </xf>
    <xf numFmtId="188" fontId="25" fillId="0" borderId="56" xfId="0" applyNumberFormat="1" applyFont="1" applyFill="1" applyBorder="1" applyAlignment="1">
      <alignment horizontal="right" vertical="center" wrapText="1"/>
    </xf>
    <xf numFmtId="188" fontId="18" fillId="0" borderId="56" xfId="2" applyNumberFormat="1" applyFont="1" applyFill="1" applyBorder="1" applyAlignment="1">
      <alignment vertical="center" wrapText="1"/>
    </xf>
    <xf numFmtId="188" fontId="27" fillId="0" borderId="59" xfId="1" applyNumberFormat="1" applyFont="1" applyFill="1" applyBorder="1" applyAlignment="1" applyProtection="1">
      <alignment wrapText="1"/>
      <protection locked="0"/>
    </xf>
    <xf numFmtId="189" fontId="18" fillId="3" borderId="33" xfId="1" applyNumberFormat="1" applyFont="1" applyFill="1" applyBorder="1" applyAlignment="1" applyProtection="1">
      <alignment wrapText="1"/>
      <protection locked="0"/>
    </xf>
    <xf numFmtId="174" fontId="18" fillId="3" borderId="60" xfId="1" applyNumberFormat="1" applyFont="1" applyFill="1" applyBorder="1" applyAlignment="1" applyProtection="1">
      <alignment wrapText="1"/>
      <protection locked="0"/>
    </xf>
    <xf numFmtId="172" fontId="5" fillId="0" borderId="0" xfId="0" applyNumberFormat="1" applyFont="1" applyFill="1" applyBorder="1" applyAlignment="1">
      <alignment wrapText="1"/>
    </xf>
    <xf numFmtId="189" fontId="5" fillId="0" borderId="0" xfId="1" applyNumberFormat="1" applyFont="1" applyAlignment="1">
      <alignment wrapText="1"/>
    </xf>
    <xf numFmtId="188" fontId="6" fillId="0" borderId="0" xfId="1" applyNumberFormat="1" applyFont="1" applyAlignment="1">
      <alignment wrapText="1"/>
    </xf>
    <xf numFmtId="189" fontId="6" fillId="0" borderId="0" xfId="1" applyNumberFormat="1" applyFont="1" applyAlignment="1">
      <alignment wrapText="1"/>
    </xf>
    <xf numFmtId="174" fontId="6" fillId="0" borderId="0" xfId="1" applyNumberFormat="1" applyFont="1" applyAlignment="1">
      <alignment wrapText="1"/>
    </xf>
    <xf numFmtId="0" fontId="34" fillId="0" borderId="0" xfId="0" applyFont="1" applyAlignment="1">
      <alignment horizontal="center"/>
    </xf>
    <xf numFmtId="0" fontId="3" fillId="21" borderId="16" xfId="0" applyFont="1" applyFill="1" applyBorder="1" applyAlignment="1" applyProtection="1">
      <alignment vertical="center" wrapText="1"/>
    </xf>
    <xf numFmtId="0" fontId="35" fillId="0" borderId="0" xfId="0" applyFont="1" applyAlignment="1">
      <alignment wrapText="1"/>
    </xf>
    <xf numFmtId="0" fontId="35" fillId="0" borderId="0" xfId="0" applyFont="1" applyAlignment="1"/>
    <xf numFmtId="0" fontId="35" fillId="0" borderId="0" xfId="0" applyFont="1"/>
    <xf numFmtId="0" fontId="36" fillId="0" borderId="0" xfId="9" applyFont="1" applyFill="1" applyBorder="1" applyAlignment="1">
      <alignment horizontal="center"/>
    </xf>
    <xf numFmtId="0" fontId="35" fillId="0" borderId="0" xfId="0" applyFont="1" applyFill="1" applyBorder="1" applyAlignment="1"/>
    <xf numFmtId="0" fontId="35" fillId="0" borderId="0" xfId="0" applyFont="1" applyFill="1" applyAlignment="1">
      <alignment wrapText="1"/>
    </xf>
    <xf numFmtId="0" fontId="36" fillId="0" borderId="0" xfId="9" applyFont="1" applyFill="1" applyBorder="1" applyAlignment="1">
      <alignment horizontal="left"/>
    </xf>
    <xf numFmtId="0" fontId="35" fillId="0" borderId="0" xfId="0" applyFont="1" applyFill="1"/>
    <xf numFmtId="0" fontId="35" fillId="0" borderId="0" xfId="0" applyFont="1" applyAlignment="1">
      <alignment horizontal="left"/>
    </xf>
    <xf numFmtId="0" fontId="37" fillId="0" borderId="0" xfId="0" applyFont="1" applyAlignment="1">
      <alignment wrapText="1"/>
    </xf>
    <xf numFmtId="0" fontId="37" fillId="0" borderId="0" xfId="0" applyFont="1" applyAlignment="1"/>
    <xf numFmtId="0" fontId="37" fillId="0" borderId="0" xfId="0" applyFont="1"/>
    <xf numFmtId="0" fontId="3" fillId="3" borderId="20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vertical="center" wrapText="1"/>
    </xf>
    <xf numFmtId="0" fontId="3" fillId="3" borderId="16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88" fontId="1" fillId="0" borderId="0" xfId="1" applyNumberFormat="1" applyFont="1" applyFill="1" applyBorder="1" applyAlignment="1">
      <alignment horizontal="right"/>
    </xf>
    <xf numFmtId="49" fontId="35" fillId="0" borderId="0" xfId="0" applyNumberFormat="1" applyFont="1" applyAlignment="1"/>
    <xf numFmtId="0" fontId="35" fillId="22" borderId="0" xfId="0" applyFont="1" applyFill="1" applyAlignment="1"/>
    <xf numFmtId="172" fontId="35" fillId="22" borderId="16" xfId="0" applyNumberFormat="1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177" fontId="6" fillId="0" borderId="0" xfId="2" applyNumberFormat="1" applyFont="1" applyAlignment="1">
      <alignment wrapText="1"/>
    </xf>
    <xf numFmtId="0" fontId="3" fillId="22" borderId="20" xfId="0" applyFont="1" applyFill="1" applyBorder="1" applyAlignment="1" applyProtection="1">
      <alignment horizontal="center"/>
    </xf>
    <xf numFmtId="0" fontId="3" fillId="22" borderId="16" xfId="0" applyFont="1" applyFill="1" applyBorder="1" applyAlignment="1" applyProtection="1">
      <alignment wrapText="1"/>
    </xf>
    <xf numFmtId="0" fontId="3" fillId="22" borderId="16" xfId="0" applyFont="1" applyFill="1" applyBorder="1" applyAlignment="1" applyProtection="1">
      <alignment horizontal="center"/>
    </xf>
    <xf numFmtId="172" fontId="5" fillId="22" borderId="16" xfId="0" applyNumberFormat="1" applyFont="1" applyFill="1" applyBorder="1" applyAlignment="1">
      <alignment wrapText="1"/>
    </xf>
    <xf numFmtId="2" fontId="38" fillId="0" borderId="0" xfId="5" applyNumberFormat="1" applyFont="1"/>
    <xf numFmtId="0" fontId="38" fillId="0" borderId="0" xfId="5" applyFont="1"/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4" fillId="19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31" fillId="20" borderId="0" xfId="0" applyFont="1" applyFill="1" applyAlignment="1" applyProtection="1">
      <alignment horizontal="center" vertical="center" wrapText="1"/>
    </xf>
    <xf numFmtId="0" fontId="11" fillId="5" borderId="52" xfId="5" applyFont="1" applyFill="1" applyBorder="1" applyAlignment="1">
      <alignment horizontal="center" vertical="center" wrapText="1"/>
    </xf>
    <xf numFmtId="0" fontId="11" fillId="5" borderId="73" xfId="5" applyFont="1" applyFill="1" applyBorder="1" applyAlignment="1">
      <alignment horizontal="center" vertical="center" wrapText="1"/>
    </xf>
    <xf numFmtId="0" fontId="8" fillId="0" borderId="7" xfId="5" applyFont="1" applyBorder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0" fontId="11" fillId="5" borderId="64" xfId="5" applyFont="1" applyFill="1" applyBorder="1" applyAlignment="1">
      <alignment horizontal="center" vertical="center" wrapText="1"/>
    </xf>
    <xf numFmtId="0" fontId="11" fillId="5" borderId="65" xfId="5" applyFont="1" applyFill="1" applyBorder="1" applyAlignment="1">
      <alignment horizontal="center" vertical="center" wrapText="1"/>
    </xf>
    <xf numFmtId="0" fontId="11" fillId="5" borderId="66" xfId="5" applyFont="1" applyFill="1" applyBorder="1" applyAlignment="1">
      <alignment horizontal="center" vertical="center" wrapText="1"/>
    </xf>
    <xf numFmtId="0" fontId="11" fillId="5" borderId="67" xfId="5" applyFont="1" applyFill="1" applyBorder="1" applyAlignment="1">
      <alignment horizontal="center" vertical="center" wrapText="1"/>
    </xf>
    <xf numFmtId="0" fontId="11" fillId="5" borderId="68" xfId="5" applyFont="1" applyFill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/>
    </xf>
    <xf numFmtId="0" fontId="2" fillId="6" borderId="53" xfId="5" applyFont="1" applyFill="1" applyBorder="1" applyAlignment="1">
      <alignment horizontal="center" vertical="center" wrapText="1"/>
    </xf>
    <xf numFmtId="0" fontId="2" fillId="6" borderId="69" xfId="5" applyFont="1" applyFill="1" applyBorder="1" applyAlignment="1">
      <alignment horizontal="center" vertical="center" wrapText="1"/>
    </xf>
    <xf numFmtId="0" fontId="11" fillId="6" borderId="70" xfId="5" applyFont="1" applyFill="1" applyBorder="1" applyAlignment="1">
      <alignment horizontal="center"/>
    </xf>
    <xf numFmtId="0" fontId="11" fillId="6" borderId="71" xfId="5" applyFont="1" applyFill="1" applyBorder="1" applyAlignment="1">
      <alignment horizontal="center"/>
    </xf>
    <xf numFmtId="0" fontId="2" fillId="6" borderId="70" xfId="5" applyFont="1" applyFill="1" applyBorder="1" applyAlignment="1">
      <alignment horizontal="center"/>
    </xf>
    <xf numFmtId="0" fontId="2" fillId="6" borderId="72" xfId="5" applyFont="1" applyFill="1" applyBorder="1" applyAlignment="1">
      <alignment horizontal="center"/>
    </xf>
    <xf numFmtId="0" fontId="2" fillId="6" borderId="71" xfId="5" applyFont="1" applyFill="1" applyBorder="1" applyAlignment="1">
      <alignment horizontal="center"/>
    </xf>
  </cellXfs>
  <cellStyles count="12">
    <cellStyle name="Millares" xfId="1" builtinId="3"/>
    <cellStyle name="Moneda" xfId="2" builtinId="4"/>
    <cellStyle name="Moneda [0]" xfId="3" builtinId="7"/>
    <cellStyle name="Normal" xfId="0" builtinId="0"/>
    <cellStyle name="Normal_Aux" xfId="4"/>
    <cellStyle name="Normal_Costo equipos" xfId="5"/>
    <cellStyle name="Normal_Hoja1" xfId="6"/>
    <cellStyle name="Normal_IN-01-10" xfId="7"/>
    <cellStyle name="Normal_IN-05-04" xfId="8"/>
    <cellStyle name="Normal_IN-09-06" xfId="9"/>
    <cellStyle name="Normal_IN-11-08" xfId="10"/>
    <cellStyle name="Porcentual" xfId="11" builtinId="5"/>
  </cellStyles>
  <dxfs count="14"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8" formatCode="&quot;$&quot;\ 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8" formatCode="&quot;$&quot;\ #,##0.00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cios/A&#209;O%202010/ParaBorrar/An_10_02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7">
          <cell r="Q7">
            <v>70.227916878000002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4:F126" totalsRowCount="1" headerRowDxfId="1" headerRowBorderDxfId="0">
  <autoFilter ref="A4:F125"/>
  <tableColumns count="6">
    <tableColumn id="1" name="Nº" dataDxfId="12" totalsRowDxfId="13"/>
    <tableColumn id="2" name="Código&#10;Fórmula" dataDxfId="10" totalsRowDxfId="11"/>
    <tableColumn id="3" name="Rubro" dataDxfId="8" totalsRowDxfId="9">
      <calculatedColumnFormula>INDIRECT("rfor_"&amp;$B5)</calculatedColumnFormula>
    </tableColumn>
    <tableColumn id="4" name="Item" dataDxfId="6" totalsRowDxfId="7">
      <calculatedColumnFormula>INDIRECT("dfor_"&amp;B5)</calculatedColumnFormula>
    </tableColumn>
    <tableColumn id="5" name="Unidad" dataDxfId="4" totalsRowDxfId="5">
      <calculatedColumnFormula>INDIRECT("ufor_"&amp;$B5)</calculatedColumnFormula>
    </tableColumn>
    <tableColumn id="6" name="Valor Fórmula" dataDxfId="2" totalsRowDxfId="3" dataCellStyle="Millares">
      <calculatedColumnFormula>INDIRECT("vfor_"&amp;$B5)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4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5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6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7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8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90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2"/>
    <pageSetUpPr fitToPage="1"/>
  </sheetPr>
  <dimension ref="A1:K126"/>
  <sheetViews>
    <sheetView topLeftCell="A124" zoomScale="90" workbookViewId="0">
      <selection activeCell="F124" sqref="F124"/>
    </sheetView>
  </sheetViews>
  <sheetFormatPr baseColWidth="10" defaultColWidth="10.6640625" defaultRowHeight="12.75"/>
  <cols>
    <col min="1" max="1" width="4.44140625" style="5" customWidth="1"/>
    <col min="2" max="2" width="8.109375" style="5" customWidth="1"/>
    <col min="3" max="3" width="28.33203125" style="1" bestFit="1" customWidth="1"/>
    <col min="4" max="4" width="33.88671875" style="1" bestFit="1" customWidth="1"/>
    <col min="5" max="5" width="7.21875" style="5" customWidth="1"/>
    <col min="6" max="6" width="13.21875" style="216" customWidth="1"/>
    <col min="7" max="7" width="0.44140625" style="1" customWidth="1"/>
    <col min="8" max="8" width="2.6640625" style="1" hidden="1" customWidth="1"/>
    <col min="9" max="9" width="0" style="1" hidden="1" customWidth="1"/>
    <col min="10" max="16384" width="10.6640625" style="1"/>
  </cols>
  <sheetData>
    <row r="1" spans="1:9" ht="18.600000000000001" hidden="1" customHeight="1" thickBot="1">
      <c r="A1" s="439" t="s">
        <v>338</v>
      </c>
      <c r="B1" s="439"/>
      <c r="C1" s="439"/>
      <c r="D1" s="439"/>
      <c r="E1" s="439"/>
      <c r="F1" s="439"/>
    </row>
    <row r="2" spans="1:9" ht="18.600000000000001" customHeight="1" thickBot="1">
      <c r="A2" s="436" t="s">
        <v>270</v>
      </c>
      <c r="B2" s="437"/>
      <c r="C2" s="437"/>
      <c r="D2" s="437"/>
      <c r="E2" s="437"/>
      <c r="F2" s="438"/>
    </row>
    <row r="3" spans="1:9" ht="15">
      <c r="E3" s="217" t="s">
        <v>271</v>
      </c>
      <c r="F3" s="244" t="str">
        <f>Fecha</f>
        <v>Oct-14</v>
      </c>
    </row>
    <row r="4" spans="1:9" ht="30.75" thickBot="1">
      <c r="A4" s="211" t="s">
        <v>6</v>
      </c>
      <c r="B4" s="212" t="s">
        <v>7</v>
      </c>
      <c r="C4" s="212" t="s">
        <v>9</v>
      </c>
      <c r="D4" s="212" t="s">
        <v>1834</v>
      </c>
      <c r="E4" s="212" t="s">
        <v>10</v>
      </c>
      <c r="F4" s="214" t="s">
        <v>8</v>
      </c>
    </row>
    <row r="5" spans="1:9">
      <c r="A5" s="33">
        <v>1</v>
      </c>
      <c r="B5" s="213" t="s">
        <v>1771</v>
      </c>
      <c r="C5" s="1" t="str">
        <f t="shared" ref="C5:C43" ca="1" si="0">INDIRECT("rfor_"&amp;$B5)</f>
        <v>MOVIMIENTO DE TIERRA</v>
      </c>
      <c r="D5" s="1" t="str">
        <f t="shared" ref="D5:D43" ca="1" si="1">INDIRECT("dfor_"&amp;B5)</f>
        <v>excavación de zanja a mano</v>
      </c>
      <c r="E5" s="5" t="str">
        <f t="shared" ref="E5:E43" ca="1" si="2">INDIRECT("ufor_"&amp;$B5)</f>
        <v>m3</v>
      </c>
      <c r="F5" s="216">
        <f ca="1">INDIRECT("vfor_"&amp;$B5)</f>
        <v>201.33680000000001</v>
      </c>
      <c r="G5" s="20"/>
    </row>
    <row r="6" spans="1:9">
      <c r="A6" s="33">
        <v>2</v>
      </c>
      <c r="B6" s="213" t="s">
        <v>1772</v>
      </c>
      <c r="C6" s="1" t="str">
        <f t="shared" ca="1" si="0"/>
        <v>MOVIMIENTO DE TIERRA</v>
      </c>
      <c r="D6" s="1" t="str">
        <f t="shared" ca="1" si="1"/>
        <v>excavación de sotanos a mano</v>
      </c>
      <c r="E6" s="5" t="str">
        <f t="shared" ca="1" si="2"/>
        <v>m3</v>
      </c>
      <c r="F6" s="216">
        <f t="shared" ref="F6:F43" ca="1" si="3">INDIRECT("vfor_"&amp;$B6)</f>
        <v>255.19760000000002</v>
      </c>
      <c r="G6" s="20"/>
    </row>
    <row r="7" spans="1:9">
      <c r="A7" s="33">
        <v>3</v>
      </c>
      <c r="B7" s="5" t="s">
        <v>1773</v>
      </c>
      <c r="C7" s="1" t="str">
        <f t="shared" ca="1" si="0"/>
        <v>MOVIMIENTO DE TIERRA</v>
      </c>
      <c r="D7" s="1" t="str">
        <f t="shared" ca="1" si="1"/>
        <v>excavación de pozos estr. a mano</v>
      </c>
      <c r="E7" s="5" t="str">
        <f t="shared" ca="1" si="2"/>
        <v>m3</v>
      </c>
      <c r="F7" s="216">
        <f t="shared" ca="1" si="3"/>
        <v>425.7568</v>
      </c>
      <c r="G7" s="20"/>
    </row>
    <row r="8" spans="1:9">
      <c r="A8" s="33">
        <v>4</v>
      </c>
      <c r="B8" s="5" t="s">
        <v>1774</v>
      </c>
      <c r="C8" s="1" t="str">
        <f t="shared" ca="1" si="0"/>
        <v>MOVIMIENTO DE TIERRA</v>
      </c>
      <c r="D8" s="1" t="str">
        <f t="shared" ca="1" si="1"/>
        <v>exc. mano y retiro de suelos (500m)</v>
      </c>
      <c r="E8" s="5" t="str">
        <f t="shared" ca="1" si="2"/>
        <v>m3</v>
      </c>
      <c r="F8" s="216">
        <f t="shared" ca="1" si="3"/>
        <v>266.33929354964795</v>
      </c>
      <c r="G8" s="20"/>
    </row>
    <row r="9" spans="1:9">
      <c r="A9" s="33">
        <v>5</v>
      </c>
      <c r="B9" s="5" t="s">
        <v>1777</v>
      </c>
      <c r="C9" s="1" t="str">
        <f t="shared" ca="1" si="0"/>
        <v>MOVIMIENTO DE TIERRA</v>
      </c>
      <c r="D9" s="1" t="str">
        <f t="shared" ca="1" si="1"/>
        <v>desm.y terrapl.a mano y máqu.</v>
      </c>
      <c r="E9" s="5" t="str">
        <f t="shared" ca="1" si="2"/>
        <v>m3</v>
      </c>
      <c r="F9" s="216">
        <f t="shared" ca="1" si="3"/>
        <v>146.60425316179862</v>
      </c>
      <c r="G9" s="20"/>
    </row>
    <row r="10" spans="1:9">
      <c r="A10" s="33">
        <v>6</v>
      </c>
      <c r="B10" s="5" t="s">
        <v>14</v>
      </c>
      <c r="C10" s="1" t="str">
        <f t="shared" ca="1" si="0"/>
        <v>MOVIMIENTO DE TIERRA</v>
      </c>
      <c r="D10" s="1" t="str">
        <f t="shared" ca="1" si="1"/>
        <v>replanteo y compact. a mano</v>
      </c>
      <c r="E10" s="5" t="str">
        <f t="shared" ca="1" si="2"/>
        <v>m3</v>
      </c>
      <c r="F10" s="216">
        <f t="shared" ca="1" si="3"/>
        <v>148.99969354964793</v>
      </c>
      <c r="G10" s="20"/>
    </row>
    <row r="11" spans="1:9">
      <c r="A11" s="33">
        <v>7</v>
      </c>
      <c r="B11" s="5" t="s">
        <v>366</v>
      </c>
      <c r="C11" s="1" t="str">
        <f t="shared" ca="1" si="0"/>
        <v>MOVIMIENTO DE TIERRA</v>
      </c>
      <c r="D11" s="1" t="str">
        <f t="shared" ca="1" si="1"/>
        <v>excav. a máq. p/obras de saneamientos</v>
      </c>
      <c r="E11" s="5" t="str">
        <f t="shared" ca="1" si="2"/>
        <v>m3</v>
      </c>
      <c r="F11" s="216">
        <f t="shared" ca="1" si="3"/>
        <v>26.600715009398627</v>
      </c>
      <c r="G11" s="20"/>
    </row>
    <row r="12" spans="1:9">
      <c r="A12" s="33">
        <v>8</v>
      </c>
      <c r="B12" s="5" t="s">
        <v>367</v>
      </c>
      <c r="C12" s="1" t="str">
        <f t="shared" ca="1" si="0"/>
        <v>MOVIMIENTO DE TIERRA</v>
      </c>
      <c r="D12" s="1" t="str">
        <f t="shared" ca="1" si="1"/>
        <v>relleno a máq.  p/obras de saneamientos</v>
      </c>
      <c r="E12" s="5" t="str">
        <f t="shared" ca="1" si="2"/>
        <v>m3</v>
      </c>
      <c r="F12" s="216">
        <f t="shared" ca="1" si="3"/>
        <v>7.785613874415537</v>
      </c>
      <c r="G12" s="20"/>
    </row>
    <row r="13" spans="1:9">
      <c r="A13" s="33">
        <v>9</v>
      </c>
      <c r="B13" s="5" t="s">
        <v>1785</v>
      </c>
      <c r="C13" s="1" t="str">
        <f t="shared" ca="1" si="0"/>
        <v>FUNDACIONES</v>
      </c>
      <c r="D13" s="1" t="str">
        <f t="shared" ca="1" si="1"/>
        <v>Hº de limpieza - e= 5 cm</v>
      </c>
      <c r="E13" s="5" t="str">
        <f t="shared" ca="1" si="2"/>
        <v>m2</v>
      </c>
      <c r="F13" s="216">
        <f ca="1">INDIRECT("vfor_"&amp;$B13)</f>
        <v>54.882970489787901</v>
      </c>
      <c r="G13" s="20"/>
    </row>
    <row r="14" spans="1:9">
      <c r="A14" s="33">
        <v>10</v>
      </c>
      <c r="B14" s="5" t="s">
        <v>1795</v>
      </c>
      <c r="C14" s="1" t="str">
        <f t="shared" ca="1" si="0"/>
        <v>FUNDACIONES</v>
      </c>
      <c r="D14" s="1" t="str">
        <f t="shared" ca="1" si="1"/>
        <v>hºaº bases aisladas</v>
      </c>
      <c r="E14" s="5" t="str">
        <f t="shared" ca="1" si="2"/>
        <v>m3</v>
      </c>
      <c r="F14" s="216">
        <f t="shared" ca="1" si="3"/>
        <v>2630.7434733942946</v>
      </c>
      <c r="G14" s="20"/>
    </row>
    <row r="15" spans="1:9">
      <c r="A15" s="33">
        <v>11</v>
      </c>
      <c r="B15" s="5" t="s">
        <v>1796</v>
      </c>
      <c r="C15" s="1" t="str">
        <f t="shared" ca="1" si="0"/>
        <v>FUNDACIONES</v>
      </c>
      <c r="D15" s="1" t="str">
        <f t="shared" ca="1" si="1"/>
        <v>hºaº vigas de fundación</v>
      </c>
      <c r="E15" s="5" t="str">
        <f t="shared" ca="1" si="2"/>
        <v>m3</v>
      </c>
      <c r="F15" s="216">
        <f t="shared" ca="1" si="3"/>
        <v>3350.1369386612141</v>
      </c>
      <c r="G15" s="20"/>
    </row>
    <row r="16" spans="1:9">
      <c r="A16" s="33">
        <v>12</v>
      </c>
      <c r="B16" s="5" t="s">
        <v>1805</v>
      </c>
      <c r="C16" s="1" t="str">
        <f t="shared" ca="1" si="0"/>
        <v>FUNDACIONES</v>
      </c>
      <c r="D16" s="1" t="str">
        <f t="shared" ca="1" si="1"/>
        <v>hºaº platea de fundación</v>
      </c>
      <c r="E16" s="5" t="str">
        <f t="shared" ca="1" si="2"/>
        <v>m3</v>
      </c>
      <c r="F16" s="216">
        <f t="shared" ca="1" si="3"/>
        <v>3225.3604582055523</v>
      </c>
      <c r="G16" s="20"/>
      <c r="I16" s="1">
        <v>1744.07</v>
      </c>
    </row>
    <row r="17" spans="1:11">
      <c r="A17" s="33">
        <v>13</v>
      </c>
      <c r="B17" s="5" t="s">
        <v>15</v>
      </c>
      <c r="C17" s="1" t="str">
        <f t="shared" ca="1" si="0"/>
        <v>ESTRUCTURA RESISTENTE</v>
      </c>
      <c r="D17" s="1" t="str">
        <f t="shared" ca="1" si="1"/>
        <v xml:space="preserve">estr. de Hº Aº </v>
      </c>
      <c r="E17" s="5" t="str">
        <f t="shared" ca="1" si="2"/>
        <v>m3</v>
      </c>
      <c r="F17" s="216">
        <f t="shared" ca="1" si="3"/>
        <v>5271.0023231268751</v>
      </c>
      <c r="G17" s="20"/>
    </row>
    <row r="18" spans="1:11">
      <c r="A18" s="33">
        <v>14</v>
      </c>
      <c r="B18" s="5" t="s">
        <v>1797</v>
      </c>
      <c r="C18" s="1" t="str">
        <f t="shared" ca="1" si="0"/>
        <v>ESTRUCTURA RESISTENTE</v>
      </c>
      <c r="D18" s="1" t="str">
        <f t="shared" ca="1" si="1"/>
        <v>estr. de Hº Aº columna resist.</v>
      </c>
      <c r="E18" s="5" t="str">
        <f t="shared" ca="1" si="2"/>
        <v>m3</v>
      </c>
      <c r="F18" s="216">
        <f t="shared" ca="1" si="3"/>
        <v>5021.4978446814875</v>
      </c>
      <c r="G18" s="20"/>
    </row>
    <row r="19" spans="1:11">
      <c r="A19" s="33">
        <v>15</v>
      </c>
      <c r="B19" s="5" t="s">
        <v>1798</v>
      </c>
      <c r="C19" s="1" t="str">
        <f t="shared" ca="1" si="0"/>
        <v>ESTRUCTURA RESISTENTE</v>
      </c>
      <c r="D19" s="1" t="str">
        <f t="shared" ca="1" si="1"/>
        <v>estr. de Hº Aº vigas resist.</v>
      </c>
      <c r="E19" s="5" t="str">
        <f t="shared" ca="1" si="2"/>
        <v>m3</v>
      </c>
      <c r="F19" s="216">
        <f ca="1">INDIRECT("vfor_"&amp;$B19)</f>
        <v>4793.5443931514446</v>
      </c>
      <c r="G19" s="20"/>
    </row>
    <row r="20" spans="1:11" s="123" customFormat="1">
      <c r="A20" s="143">
        <v>16</v>
      </c>
      <c r="B20" s="19" t="s">
        <v>1800</v>
      </c>
      <c r="C20" s="123" t="str">
        <f t="shared" ca="1" si="0"/>
        <v>ESTRUCTURA RESISTENTE</v>
      </c>
      <c r="D20" s="123" t="str">
        <f t="shared" ca="1" si="1"/>
        <v>estr. de Hº Aº vigas y columnas. encad .</v>
      </c>
      <c r="E20" s="19" t="str">
        <f t="shared" ca="1" si="2"/>
        <v>m3</v>
      </c>
      <c r="F20" s="216">
        <f t="shared" ca="1" si="3"/>
        <v>5184.7156946926552</v>
      </c>
      <c r="G20" s="144"/>
      <c r="K20" s="1"/>
    </row>
    <row r="21" spans="1:11">
      <c r="A21" s="33">
        <v>17</v>
      </c>
      <c r="B21" s="5" t="s">
        <v>1801</v>
      </c>
      <c r="C21" s="1" t="str">
        <f t="shared" ca="1" si="0"/>
        <v>ESTRUCTURA RESISTENTE</v>
      </c>
      <c r="D21" s="1" t="str">
        <f t="shared" ca="1" si="1"/>
        <v>estr. de Hº Aº losa maciza e=10 cm</v>
      </c>
      <c r="E21" s="5" t="str">
        <f t="shared" ca="1" si="2"/>
        <v>m3</v>
      </c>
      <c r="F21" s="216">
        <f t="shared" ca="1" si="3"/>
        <v>3896.8679771362572</v>
      </c>
      <c r="G21" s="20"/>
    </row>
    <row r="22" spans="1:11" s="123" customFormat="1">
      <c r="A22" s="143">
        <v>18</v>
      </c>
      <c r="B22" s="19" t="s">
        <v>1803</v>
      </c>
      <c r="C22" s="123" t="str">
        <f t="shared" ca="1" si="0"/>
        <v>ESTRUCTURA RESISTENTE</v>
      </c>
      <c r="D22" s="123" t="str">
        <f t="shared" ca="1" si="1"/>
        <v>estr. de Hº Aº losa cerám. aliv.c/viguetas</v>
      </c>
      <c r="E22" s="19" t="str">
        <f t="shared" ca="1" si="2"/>
        <v>m2</v>
      </c>
      <c r="F22" s="216">
        <f ca="1">INDIRECT("vfor_"&amp;$B22)</f>
        <v>586.81832942754818</v>
      </c>
      <c r="G22" s="144"/>
      <c r="I22" s="123">
        <v>342.18</v>
      </c>
      <c r="K22" s="1"/>
    </row>
    <row r="23" spans="1:11" s="123" customFormat="1">
      <c r="A23" s="143">
        <v>19</v>
      </c>
      <c r="B23" s="19" t="s">
        <v>172</v>
      </c>
      <c r="C23" s="123" t="str">
        <f t="shared" ca="1" si="0"/>
        <v>ESTRUCTURA RESISTENTE</v>
      </c>
      <c r="D23" s="123" t="str">
        <f t="shared" ca="1" si="1"/>
        <v xml:space="preserve"> Hº Aº losa maciza c/encofr. Metálic</v>
      </c>
      <c r="E23" s="19" t="str">
        <f t="shared" ca="1" si="2"/>
        <v>m3</v>
      </c>
      <c r="F23" s="216">
        <f t="shared" ca="1" si="3"/>
        <v>3880.7469182729001</v>
      </c>
      <c r="G23" s="144"/>
      <c r="I23" s="123">
        <v>2111.0700000000002</v>
      </c>
      <c r="K23" s="1"/>
    </row>
    <row r="24" spans="1:11">
      <c r="A24" s="33">
        <v>20</v>
      </c>
      <c r="B24" s="5" t="s">
        <v>372</v>
      </c>
      <c r="C24" s="1" t="str">
        <f t="shared" ca="1" si="0"/>
        <v>ESTRUCTURA RESISTENTE</v>
      </c>
      <c r="D24" s="1" t="str">
        <f ca="1">INDIRECT("dfor_"&amp;B24)</f>
        <v>estr. de Hº Aº losa maciza e=15 cm Hº visto</v>
      </c>
      <c r="E24" s="5" t="str">
        <f t="shared" ca="1" si="2"/>
        <v>m3</v>
      </c>
      <c r="F24" s="216">
        <f t="shared" ca="1" si="3"/>
        <v>4484.3772383602909</v>
      </c>
      <c r="G24" s="20"/>
    </row>
    <row r="25" spans="1:11">
      <c r="A25" s="33">
        <v>21</v>
      </c>
      <c r="B25" s="5" t="s">
        <v>375</v>
      </c>
      <c r="C25" s="1" t="str">
        <f t="shared" ca="1" si="0"/>
        <v>ESTRUCTURA RESISTENTE</v>
      </c>
      <c r="D25" s="1" t="str">
        <f ca="1">INDIRECT("dfor_"&amp;B25)</f>
        <v>estr. de Hº Aº vigas resist. Hº visto</v>
      </c>
      <c r="E25" s="5" t="str">
        <f t="shared" ca="1" si="2"/>
        <v>m3</v>
      </c>
      <c r="F25" s="216">
        <f t="shared" ca="1" si="3"/>
        <v>4994.8022687377752</v>
      </c>
      <c r="G25" s="20"/>
    </row>
    <row r="26" spans="1:11">
      <c r="A26" s="33">
        <v>22</v>
      </c>
      <c r="B26" s="405" t="s">
        <v>377</v>
      </c>
      <c r="C26" s="1" t="str">
        <f t="shared" ca="1" si="0"/>
        <v>ESTRUCTURA RESISTENTE</v>
      </c>
      <c r="D26" s="1" t="str">
        <f ca="1">INDIRECT("dfor_"&amp;B26)</f>
        <v>estr. de Hº Aº columna resist. Hº visto</v>
      </c>
      <c r="E26" s="5" t="str">
        <f t="shared" ca="1" si="2"/>
        <v>m3</v>
      </c>
      <c r="F26" s="216">
        <f t="shared" ca="1" si="3"/>
        <v>5787.0004679783387</v>
      </c>
      <c r="G26" s="20"/>
    </row>
    <row r="27" spans="1:11">
      <c r="A27" s="33">
        <v>23</v>
      </c>
      <c r="B27" s="5" t="s">
        <v>1766</v>
      </c>
      <c r="C27" s="1" t="str">
        <f t="shared" ca="1" si="0"/>
        <v>CERRAMIENTO EXTER. E INTERIORES</v>
      </c>
      <c r="D27" s="1" t="str">
        <f t="shared" ca="1" si="1"/>
        <v xml:space="preserve">mamposter. de ladr. común 0.15 </v>
      </c>
      <c r="E27" s="5" t="str">
        <f t="shared" ca="1" si="2"/>
        <v>m2</v>
      </c>
      <c r="F27" s="216">
        <f t="shared" ca="1" si="3"/>
        <v>263.02637779774506</v>
      </c>
      <c r="G27" s="20"/>
    </row>
    <row r="28" spans="1:11">
      <c r="A28" s="33">
        <v>24</v>
      </c>
      <c r="B28" s="5" t="s">
        <v>1790</v>
      </c>
      <c r="C28" s="1" t="str">
        <f t="shared" ca="1" si="0"/>
        <v>CERRAMIENTO EXTER. E INTERIORES</v>
      </c>
      <c r="D28" s="1" t="str">
        <f t="shared" ca="1" si="1"/>
        <v>mamposter. de ladr. común 0.30</v>
      </c>
      <c r="E28" s="5" t="str">
        <f t="shared" ca="1" si="2"/>
        <v>m3</v>
      </c>
      <c r="F28" s="216">
        <f t="shared" ca="1" si="3"/>
        <v>1867.6910481133964</v>
      </c>
      <c r="G28" s="20"/>
    </row>
    <row r="29" spans="1:11">
      <c r="A29" s="33">
        <v>25</v>
      </c>
      <c r="B29" s="5" t="s">
        <v>1791</v>
      </c>
      <c r="C29" s="1" t="str">
        <f t="shared" ca="1" si="0"/>
        <v>CERRAMIENTO EXTER. E INTERIORES</v>
      </c>
      <c r="D29" s="1" t="str">
        <f t="shared" ca="1" si="1"/>
        <v>mamposter. de ladr. común a la vista</v>
      </c>
      <c r="E29" s="5" t="str">
        <f t="shared" ca="1" si="2"/>
        <v>m3</v>
      </c>
      <c r="F29" s="216">
        <f t="shared" ca="1" si="3"/>
        <v>2019.1372481133965</v>
      </c>
      <c r="G29" s="20"/>
    </row>
    <row r="30" spans="1:11">
      <c r="A30" s="33">
        <v>26</v>
      </c>
      <c r="B30" s="5" t="s">
        <v>1755</v>
      </c>
      <c r="C30" s="1" t="str">
        <f t="shared" ca="1" si="0"/>
        <v>CERRAMIENTO EXTER. E INTERIORES</v>
      </c>
      <c r="D30" s="1" t="str">
        <f t="shared" ca="1" si="1"/>
        <v>mamp. de ladr. Cer.  8 x 18 x 30</v>
      </c>
      <c r="E30" s="5" t="str">
        <f t="shared" ca="1" si="2"/>
        <v>m2</v>
      </c>
      <c r="F30" s="216">
        <f t="shared" ca="1" si="3"/>
        <v>141.05137379994105</v>
      </c>
      <c r="G30" s="20"/>
    </row>
    <row r="31" spans="1:11">
      <c r="A31" s="33">
        <v>27</v>
      </c>
      <c r="B31" s="5" t="s">
        <v>1764</v>
      </c>
      <c r="C31" s="1" t="str">
        <f t="shared" ca="1" si="0"/>
        <v>CERRAMIENTO EXTER. E INTERIORES</v>
      </c>
      <c r="D31" s="1" t="str">
        <f t="shared" ca="1" si="1"/>
        <v>mamp. de ladr. Cer.  12 x 18 x 30</v>
      </c>
      <c r="E31" s="5" t="str">
        <f t="shared" ca="1" si="2"/>
        <v>m2</v>
      </c>
      <c r="F31" s="216">
        <f t="shared" ca="1" si="3"/>
        <v>174.17620310841923</v>
      </c>
      <c r="G31" s="20"/>
    </row>
    <row r="32" spans="1:11">
      <c r="A32" s="33">
        <v>28</v>
      </c>
      <c r="B32" s="5" t="s">
        <v>1765</v>
      </c>
      <c r="C32" s="1" t="str">
        <f t="shared" ca="1" si="0"/>
        <v>CERRAMIENTO EXTER. E INTERIORES</v>
      </c>
      <c r="D32" s="1" t="str">
        <f t="shared" ca="1" si="1"/>
        <v>mamp. de ladr. Cer.  18 x 18 x 30</v>
      </c>
      <c r="E32" s="5" t="str">
        <f t="shared" ca="1" si="2"/>
        <v>m2</v>
      </c>
      <c r="F32" s="216">
        <f t="shared" ca="1" si="3"/>
        <v>211.80286009803308</v>
      </c>
      <c r="G32" s="20"/>
    </row>
    <row r="33" spans="1:7">
      <c r="A33" s="33">
        <v>29</v>
      </c>
      <c r="B33" s="5" t="s">
        <v>1809</v>
      </c>
      <c r="C33" s="1" t="str">
        <f t="shared" ca="1" si="0"/>
        <v>CERRAMIENTO EXTER. E INTERIORES</v>
      </c>
      <c r="D33" s="1" t="str">
        <f t="shared" ca="1" si="1"/>
        <v>mamp. de ladr. Cerr.  Portante</v>
      </c>
      <c r="E33" s="5" t="str">
        <f t="shared" ca="1" si="2"/>
        <v>m2</v>
      </c>
      <c r="F33" s="216">
        <f t="shared" ca="1" si="3"/>
        <v>207.83286009803311</v>
      </c>
      <c r="G33" s="20"/>
    </row>
    <row r="34" spans="1:7">
      <c r="A34" s="33">
        <v>30</v>
      </c>
      <c r="B34" s="5" t="s">
        <v>11</v>
      </c>
      <c r="C34" s="1" t="str">
        <f t="shared" ca="1" si="0"/>
        <v>CERRAMIENTO EXTER. E INTERIORES</v>
      </c>
      <c r="D34" s="1" t="str">
        <f t="shared" ca="1" si="1"/>
        <v>muro bloque de Hº 19 x19 x 40</v>
      </c>
      <c r="E34" s="5" t="str">
        <f t="shared" ca="1" si="2"/>
        <v>m2</v>
      </c>
      <c r="F34" s="216">
        <f t="shared" ca="1" si="3"/>
        <v>288.44348956504757</v>
      </c>
      <c r="G34" s="20"/>
    </row>
    <row r="35" spans="1:7">
      <c r="A35" s="33">
        <v>31</v>
      </c>
      <c r="B35" s="5" t="s">
        <v>373</v>
      </c>
      <c r="C35" s="1" t="str">
        <f t="shared" ca="1" si="0"/>
        <v>CERRAMIENTO EXTER. E INTERIORES</v>
      </c>
      <c r="D35" s="1" t="str">
        <f t="shared" ca="1" si="1"/>
        <v>mamp. de ladr. común visto c/armad. p/Escuela</v>
      </c>
      <c r="E35" s="5" t="str">
        <f t="shared" ca="1" si="2"/>
        <v>m3</v>
      </c>
      <c r="F35" s="216">
        <f t="shared" ca="1" si="3"/>
        <v>2206.2760888996377</v>
      </c>
      <c r="G35" s="20"/>
    </row>
    <row r="36" spans="1:7">
      <c r="A36" s="33">
        <v>32</v>
      </c>
      <c r="B36" s="5" t="s">
        <v>387</v>
      </c>
      <c r="C36" s="1" t="str">
        <f t="shared" ca="1" si="0"/>
        <v>CERRAMIENTO EXTER. E INTERIORES</v>
      </c>
      <c r="D36" s="1" t="str">
        <f ca="1">INDIRECT("dfor_"&amp;B36)</f>
        <v>mamp. de ladr. común visto c/armad y junta dilat</v>
      </c>
      <c r="E36" s="5" t="str">
        <f t="shared" ca="1" si="2"/>
        <v>m3</v>
      </c>
      <c r="F36" s="216">
        <f t="shared" ca="1" si="3"/>
        <v>2227.4496938583152</v>
      </c>
      <c r="G36" s="20"/>
    </row>
    <row r="37" spans="1:7">
      <c r="A37" s="33">
        <v>33</v>
      </c>
      <c r="B37" s="5" t="s">
        <v>1767</v>
      </c>
      <c r="C37" s="1" t="str">
        <f t="shared" ca="1" si="0"/>
        <v>AISLACIONES</v>
      </c>
      <c r="D37" s="1" t="str">
        <f t="shared" ca="1" si="1"/>
        <v>capa aislad.de concreto e hidr.</v>
      </c>
      <c r="E37" s="5" t="str">
        <f t="shared" ca="1" si="2"/>
        <v>m2</v>
      </c>
      <c r="F37" s="216">
        <f t="shared" ca="1" si="3"/>
        <v>70.680508143518281</v>
      </c>
      <c r="G37" s="20"/>
    </row>
    <row r="38" spans="1:7">
      <c r="A38" s="33">
        <v>34</v>
      </c>
      <c r="B38" s="5" t="s">
        <v>1768</v>
      </c>
      <c r="C38" s="1" t="str">
        <f t="shared" ca="1" si="0"/>
        <v>REVOQUES</v>
      </c>
      <c r="D38" s="1" t="str">
        <f t="shared" ca="1" si="1"/>
        <v>exteriores a la cal</v>
      </c>
      <c r="E38" s="5" t="str">
        <f t="shared" ca="1" si="2"/>
        <v>m2</v>
      </c>
      <c r="F38" s="216">
        <f t="shared" ca="1" si="3"/>
        <v>170.86422788809645</v>
      </c>
      <c r="G38" s="20"/>
    </row>
    <row r="39" spans="1:7">
      <c r="A39" s="33">
        <v>35</v>
      </c>
      <c r="B39" s="5" t="s">
        <v>13</v>
      </c>
      <c r="C39" s="1" t="str">
        <f t="shared" ca="1" si="0"/>
        <v>REVOQUES</v>
      </c>
      <c r="D39" s="1" t="str">
        <f t="shared" ca="1" si="1"/>
        <v>grueso y fino a la cal inter.</v>
      </c>
      <c r="E39" s="5" t="str">
        <f t="shared" ca="1" si="2"/>
        <v>m2</v>
      </c>
      <c r="F39" s="216">
        <f t="shared" ca="1" si="3"/>
        <v>95.091394286266606</v>
      </c>
      <c r="G39" s="20"/>
    </row>
    <row r="40" spans="1:7">
      <c r="A40" s="33">
        <v>36</v>
      </c>
      <c r="B40" s="5" t="s">
        <v>1769</v>
      </c>
      <c r="C40" s="1" t="str">
        <f t="shared" ca="1" si="0"/>
        <v>REVOQUES</v>
      </c>
      <c r="D40" s="1" t="str">
        <f t="shared" ca="1" si="1"/>
        <v>grueso reforz.b/revestimiento</v>
      </c>
      <c r="E40" s="5" t="str">
        <f t="shared" ca="1" si="2"/>
        <v>m2</v>
      </c>
      <c r="F40" s="216">
        <f t="shared" ca="1" si="3"/>
        <v>89.156034895690027</v>
      </c>
      <c r="G40" s="20"/>
    </row>
    <row r="41" spans="1:7">
      <c r="A41" s="33">
        <v>37</v>
      </c>
      <c r="B41" s="5" t="s">
        <v>12</v>
      </c>
      <c r="C41" s="1" t="str">
        <f t="shared" ca="1" si="0"/>
        <v>REVOQUES</v>
      </c>
      <c r="D41" s="1" t="str">
        <f t="shared" ca="1" si="1"/>
        <v>interior de yeso s/mamp.</v>
      </c>
      <c r="E41" s="5" t="str">
        <f t="shared" ca="1" si="2"/>
        <v>m2</v>
      </c>
      <c r="F41" s="216">
        <f t="shared" ca="1" si="3"/>
        <v>155.53329870352346</v>
      </c>
      <c r="G41" s="20"/>
    </row>
    <row r="42" spans="1:7">
      <c r="A42" s="33">
        <v>38</v>
      </c>
      <c r="B42" s="5" t="s">
        <v>1628</v>
      </c>
      <c r="C42" s="1" t="str">
        <f t="shared" ca="1" si="0"/>
        <v>SOLADOS</v>
      </c>
      <c r="D42" s="1" t="str">
        <f t="shared" ca="1" si="1"/>
        <v>contrapisos de cascote</v>
      </c>
      <c r="E42" s="5" t="str">
        <f t="shared" ca="1" si="2"/>
        <v>m2</v>
      </c>
      <c r="F42" s="216">
        <f t="shared" ca="1" si="3"/>
        <v>94.971721518380235</v>
      </c>
      <c r="G42" s="20"/>
    </row>
    <row r="43" spans="1:7">
      <c r="A43" s="33">
        <v>39</v>
      </c>
      <c r="B43" s="5" t="s">
        <v>1630</v>
      </c>
      <c r="C43" s="1" t="str">
        <f t="shared" ca="1" si="0"/>
        <v>SOLADOS</v>
      </c>
      <c r="D43" s="1" t="str">
        <f t="shared" ca="1" si="1"/>
        <v>contrapisos sobre losa e=5cm</v>
      </c>
      <c r="E43" s="5" t="str">
        <f t="shared" ca="1" si="2"/>
        <v>m2</v>
      </c>
      <c r="F43" s="216">
        <f t="shared" ca="1" si="3"/>
        <v>44.539576428041386</v>
      </c>
      <c r="G43" s="20"/>
    </row>
    <row r="44" spans="1:7">
      <c r="A44" s="33">
        <v>40</v>
      </c>
      <c r="B44" s="5" t="s">
        <v>1631</v>
      </c>
      <c r="C44" s="1" t="str">
        <f t="shared" ref="C44:C80" ca="1" si="4">INDIRECT("rfor_"&amp;$B44)</f>
        <v>SOLADOS</v>
      </c>
      <c r="D44" s="1" t="str">
        <f t="shared" ref="D44:D80" ca="1" si="5">INDIRECT("dfor_"&amp;B44)</f>
        <v>mosaico granít. pulido  en obra</v>
      </c>
      <c r="E44" s="5" t="str">
        <f t="shared" ref="E44:E80" ca="1" si="6">INDIRECT("ufor_"&amp;$B44)</f>
        <v>m2</v>
      </c>
      <c r="F44" s="216">
        <f t="shared" ref="F44:F80" ca="1" si="7">INDIRECT("vfor_"&amp;$B44)</f>
        <v>320.96847076902736</v>
      </c>
      <c r="G44" s="20"/>
    </row>
    <row r="45" spans="1:7">
      <c r="A45" s="33">
        <v>41</v>
      </c>
      <c r="B45" s="5" t="s">
        <v>1632</v>
      </c>
      <c r="C45" s="1" t="str">
        <f t="shared" ca="1" si="4"/>
        <v>SOLADOS</v>
      </c>
      <c r="D45" s="1" t="str">
        <f t="shared" ca="1" si="5"/>
        <v>mosaico calcareo</v>
      </c>
      <c r="E45" s="5" t="str">
        <f t="shared" ca="1" si="6"/>
        <v>m2</v>
      </c>
      <c r="F45" s="216">
        <f t="shared" ca="1" si="7"/>
        <v>228.18069754413239</v>
      </c>
      <c r="G45" s="20"/>
    </row>
    <row r="46" spans="1:7">
      <c r="A46" s="33">
        <v>42</v>
      </c>
      <c r="B46" s="5" t="s">
        <v>1633</v>
      </c>
      <c r="C46" s="1" t="str">
        <f t="shared" ca="1" si="4"/>
        <v>SOLADOS</v>
      </c>
      <c r="D46" s="1" t="str">
        <f t="shared" ca="1" si="5"/>
        <v>piso y zóc.cerám. esmaltado</v>
      </c>
      <c r="E46" s="5" t="str">
        <f t="shared" ca="1" si="6"/>
        <v>m2</v>
      </c>
      <c r="F46" s="216">
        <f t="shared" ca="1" si="7"/>
        <v>150.27963894159655</v>
      </c>
      <c r="G46" s="20"/>
    </row>
    <row r="47" spans="1:7">
      <c r="A47" s="33">
        <v>43</v>
      </c>
      <c r="B47" s="5" t="s">
        <v>18</v>
      </c>
      <c r="C47" s="1" t="str">
        <f t="shared" ca="1" si="4"/>
        <v>SOLADOS</v>
      </c>
      <c r="D47" s="1" t="str">
        <f t="shared" ca="1" si="5"/>
        <v>piso y zóc.cerám. incl. carpeta</v>
      </c>
      <c r="E47" s="5" t="str">
        <f t="shared" ca="1" si="6"/>
        <v>m2</v>
      </c>
      <c r="F47" s="216">
        <f t="shared" ca="1" si="7"/>
        <v>199.12376841934443</v>
      </c>
      <c r="G47" s="20"/>
    </row>
    <row r="48" spans="1:7">
      <c r="A48" s="33">
        <v>44</v>
      </c>
      <c r="B48" s="5" t="s">
        <v>1634</v>
      </c>
      <c r="C48" s="1" t="str">
        <f t="shared" ca="1" si="4"/>
        <v>SOLADOS</v>
      </c>
      <c r="D48" s="1" t="str">
        <f t="shared" ca="1" si="5"/>
        <v>cemento alisado term. a la llana</v>
      </c>
      <c r="E48" s="5" t="str">
        <f t="shared" ca="1" si="6"/>
        <v>m2</v>
      </c>
      <c r="F48" s="216">
        <f t="shared" ca="1" si="7"/>
        <v>112.55036038786801</v>
      </c>
      <c r="G48" s="20"/>
    </row>
    <row r="49" spans="1:8">
      <c r="A49" s="33">
        <v>45</v>
      </c>
      <c r="B49" s="5" t="s">
        <v>1823</v>
      </c>
      <c r="C49" s="1" t="str">
        <f t="shared" ca="1" si="4"/>
        <v>SOLADOS</v>
      </c>
      <c r="D49" s="1" t="str">
        <f t="shared" ca="1" si="5"/>
        <v>hºsº fratazado e=10 cm</v>
      </c>
      <c r="E49" s="5" t="str">
        <f t="shared" ca="1" si="6"/>
        <v>m2</v>
      </c>
      <c r="F49" s="216">
        <f t="shared" ca="1" si="7"/>
        <v>144.41805834425631</v>
      </c>
      <c r="G49" s="20"/>
    </row>
    <row r="50" spans="1:8">
      <c r="A50" s="33">
        <v>46</v>
      </c>
      <c r="B50" s="5" t="s">
        <v>1825</v>
      </c>
      <c r="C50" s="1" t="str">
        <f t="shared" ca="1" si="4"/>
        <v>SOLADOS</v>
      </c>
      <c r="D50" s="1" t="str">
        <f t="shared" ca="1" si="5"/>
        <v>hºaº fratazado e=15 cm</v>
      </c>
      <c r="E50" s="5" t="str">
        <f t="shared" ca="1" si="6"/>
        <v>m2</v>
      </c>
      <c r="F50" s="216">
        <f t="shared" ca="1" si="7"/>
        <v>243.23760267540507</v>
      </c>
      <c r="G50" s="20"/>
    </row>
    <row r="51" spans="1:8">
      <c r="A51" s="33">
        <v>47</v>
      </c>
      <c r="B51" s="5" t="s">
        <v>1635</v>
      </c>
      <c r="C51" s="1" t="str">
        <f t="shared" ca="1" si="4"/>
        <v>TECHOS</v>
      </c>
      <c r="D51" s="1" t="str">
        <f t="shared" ca="1" si="5"/>
        <v>inclinado teja - estruct. madera</v>
      </c>
      <c r="E51" s="5" t="str">
        <f t="shared" ca="1" si="6"/>
        <v>m2</v>
      </c>
      <c r="F51" s="216">
        <f t="shared" ca="1" si="7"/>
        <v>675.73807198245333</v>
      </c>
      <c r="G51" s="20"/>
    </row>
    <row r="52" spans="1:8">
      <c r="A52" s="33">
        <v>48</v>
      </c>
      <c r="B52" s="5" t="s">
        <v>192</v>
      </c>
      <c r="C52" s="1" t="str">
        <f t="shared" ca="1" si="4"/>
        <v>TECHOS</v>
      </c>
      <c r="D52" s="1" t="str">
        <f t="shared" ca="1" si="5"/>
        <v>tejas s/losa incl. Aislac.</v>
      </c>
      <c r="E52" s="5" t="str">
        <f t="shared" ca="1" si="6"/>
        <v>m2</v>
      </c>
      <c r="F52" s="216">
        <f t="shared" ca="1" si="7"/>
        <v>333.5562096765687</v>
      </c>
      <c r="G52" s="20"/>
    </row>
    <row r="53" spans="1:8">
      <c r="A53" s="33">
        <v>49</v>
      </c>
      <c r="B53" s="5" t="s">
        <v>1637</v>
      </c>
      <c r="C53" s="1" t="str">
        <f t="shared" ca="1" si="4"/>
        <v>TECHOS</v>
      </c>
      <c r="D53" s="1" t="str">
        <f t="shared" ca="1" si="5"/>
        <v>inclinado Fº Cº s/estruct. metal.</v>
      </c>
      <c r="E53" s="5" t="str">
        <f t="shared" ca="1" si="6"/>
        <v>m2</v>
      </c>
      <c r="F53" s="216">
        <f t="shared" ca="1" si="7"/>
        <v>446.88498359689009</v>
      </c>
      <c r="G53" s="20"/>
    </row>
    <row r="54" spans="1:8">
      <c r="A54" s="33">
        <v>50</v>
      </c>
      <c r="B54" s="5" t="s">
        <v>1638</v>
      </c>
      <c r="C54" s="1" t="str">
        <f t="shared" ca="1" si="4"/>
        <v>TECHOS</v>
      </c>
      <c r="D54" s="1" t="str">
        <f t="shared" ca="1" si="5"/>
        <v>inclinado Hº Gº s/estruct. metal.</v>
      </c>
      <c r="E54" s="5" t="str">
        <f t="shared" ca="1" si="6"/>
        <v>m2</v>
      </c>
      <c r="F54" s="216">
        <f t="shared" ca="1" si="7"/>
        <v>370.49546454341902</v>
      </c>
      <c r="G54" s="20"/>
    </row>
    <row r="55" spans="1:8">
      <c r="A55" s="33">
        <v>51</v>
      </c>
      <c r="B55" s="5" t="s">
        <v>1639</v>
      </c>
      <c r="C55" s="1" t="str">
        <f t="shared" ca="1" si="4"/>
        <v>TECHOS</v>
      </c>
      <c r="D55" s="1" t="str">
        <f t="shared" ca="1" si="5"/>
        <v>inclinado Hº Gº s/estruct. madera</v>
      </c>
      <c r="E55" s="5" t="str">
        <f t="shared" ca="1" si="6"/>
        <v>m2</v>
      </c>
      <c r="F55" s="216">
        <f t="shared" ca="1" si="7"/>
        <v>360.5961277665595</v>
      </c>
      <c r="G55" s="20"/>
    </row>
    <row r="56" spans="1:8">
      <c r="A56" s="33">
        <v>52</v>
      </c>
      <c r="B56" s="5" t="s">
        <v>1640</v>
      </c>
      <c r="C56" s="1" t="str">
        <f t="shared" ca="1" si="4"/>
        <v>TECHOS</v>
      </c>
      <c r="D56" s="1" t="str">
        <f t="shared" ca="1" si="5"/>
        <v>plano c/aislación s/losa</v>
      </c>
      <c r="E56" s="5" t="str">
        <f t="shared" ca="1" si="6"/>
        <v>m2</v>
      </c>
      <c r="F56" s="216">
        <f t="shared" ca="1" si="7"/>
        <v>1784.7883738614885</v>
      </c>
      <c r="G56" s="20"/>
      <c r="H56" s="20"/>
    </row>
    <row r="57" spans="1:8">
      <c r="A57" s="33">
        <v>53</v>
      </c>
      <c r="B57" s="5" t="s">
        <v>1641</v>
      </c>
      <c r="C57" s="1" t="str">
        <f t="shared" ca="1" si="4"/>
        <v>TECHOS</v>
      </c>
      <c r="D57" s="1" t="str">
        <f t="shared" ca="1" si="5"/>
        <v>losa aliv. vigueta cerámica</v>
      </c>
      <c r="E57" s="5" t="str">
        <f t="shared" ca="1" si="6"/>
        <v>m2</v>
      </c>
      <c r="F57" s="216">
        <f t="shared" ca="1" si="7"/>
        <v>598.17664306888514</v>
      </c>
      <c r="G57" s="20"/>
    </row>
    <row r="58" spans="1:8">
      <c r="A58" s="33">
        <v>54</v>
      </c>
      <c r="B58" s="5" t="s">
        <v>381</v>
      </c>
      <c r="C58" s="1" t="str">
        <f t="shared" ca="1" si="4"/>
        <v>TECHOS</v>
      </c>
      <c r="D58" s="1" t="str">
        <f t="shared" ca="1" si="5"/>
        <v>inclinado Policarb. s/estruct. metal.</v>
      </c>
      <c r="E58" s="5" t="str">
        <f t="shared" ca="1" si="6"/>
        <v>m2</v>
      </c>
      <c r="F58" s="216">
        <f t="shared" ca="1" si="7"/>
        <v>377.64352755994793</v>
      </c>
      <c r="G58" s="20"/>
    </row>
    <row r="59" spans="1:8">
      <c r="A59" s="33">
        <v>55</v>
      </c>
      <c r="B59" s="5" t="s">
        <v>1642</v>
      </c>
      <c r="C59" s="1" t="str">
        <f t="shared" ca="1" si="4"/>
        <v>CIELORRASOS</v>
      </c>
      <c r="D59" s="1" t="str">
        <f t="shared" ca="1" si="5"/>
        <v>suspendido a la cal</v>
      </c>
      <c r="E59" s="5" t="str">
        <f t="shared" ca="1" si="6"/>
        <v>m2</v>
      </c>
      <c r="F59" s="216">
        <f t="shared" ca="1" si="7"/>
        <v>299.5905231966085</v>
      </c>
      <c r="G59" s="20"/>
    </row>
    <row r="60" spans="1:8">
      <c r="A60" s="33">
        <v>56</v>
      </c>
      <c r="B60" s="5" t="s">
        <v>1644</v>
      </c>
      <c r="C60" s="1" t="str">
        <f t="shared" ca="1" si="4"/>
        <v>CIELORRASOS</v>
      </c>
      <c r="D60" s="1" t="str">
        <f t="shared" ca="1" si="5"/>
        <v>suspendido de yeso</v>
      </c>
      <c r="E60" s="5" t="str">
        <f t="shared" ca="1" si="6"/>
        <v>m2</v>
      </c>
      <c r="F60" s="216">
        <f t="shared" ca="1" si="7"/>
        <v>354.03851401203553</v>
      </c>
      <c r="G60" s="20"/>
    </row>
    <row r="61" spans="1:8">
      <c r="A61" s="33">
        <v>57</v>
      </c>
      <c r="B61" s="5" t="s">
        <v>1645</v>
      </c>
      <c r="C61" s="1" t="str">
        <f t="shared" ca="1" si="4"/>
        <v>CIELORRASOS</v>
      </c>
      <c r="D61" s="1" t="str">
        <f t="shared" ca="1" si="5"/>
        <v>suspendido de madera machimbrada</v>
      </c>
      <c r="E61" s="5" t="str">
        <f t="shared" ca="1" si="6"/>
        <v>m2</v>
      </c>
      <c r="F61" s="216">
        <f t="shared" ca="1" si="7"/>
        <v>294.49874353556163</v>
      </c>
      <c r="G61" s="20"/>
    </row>
    <row r="62" spans="1:8">
      <c r="A62" s="33">
        <v>58</v>
      </c>
      <c r="B62" s="5" t="s">
        <v>1646</v>
      </c>
      <c r="C62" s="1" t="str">
        <f t="shared" ca="1" si="4"/>
        <v>CIELORRASOS</v>
      </c>
      <c r="D62" s="1" t="str">
        <f t="shared" ca="1" si="5"/>
        <v>suspendido tablero de yeso</v>
      </c>
      <c r="E62" s="5" t="str">
        <f t="shared" ca="1" si="6"/>
        <v>m2</v>
      </c>
      <c r="F62" s="216">
        <f t="shared" ca="1" si="7"/>
        <v>319.09768555127641</v>
      </c>
      <c r="G62" s="20"/>
    </row>
    <row r="63" spans="1:8" s="123" customFormat="1">
      <c r="A63" s="143">
        <v>59</v>
      </c>
      <c r="B63" s="19" t="s">
        <v>1647</v>
      </c>
      <c r="C63" s="123" t="str">
        <f t="shared" ca="1" si="4"/>
        <v>CIELORRASOS</v>
      </c>
      <c r="D63" s="123" t="str">
        <f t="shared" ca="1" si="5"/>
        <v>aplicado grueso y fino a la cal</v>
      </c>
      <c r="E63" s="19" t="str">
        <f t="shared" ca="1" si="6"/>
        <v>m2</v>
      </c>
      <c r="F63" s="216">
        <f t="shared" ca="1" si="7"/>
        <v>140.67726900373603</v>
      </c>
      <c r="G63" s="144"/>
    </row>
    <row r="64" spans="1:8">
      <c r="A64" s="33">
        <v>60</v>
      </c>
      <c r="B64" s="5" t="s">
        <v>193</v>
      </c>
      <c r="C64" s="1" t="str">
        <f t="shared" ca="1" si="4"/>
        <v>CIELORRASOS</v>
      </c>
      <c r="D64" s="1" t="str">
        <f t="shared" ca="1" si="5"/>
        <v>aplicado de yeso</v>
      </c>
      <c r="E64" s="5" t="str">
        <f t="shared" ca="1" si="6"/>
        <v>m2</v>
      </c>
      <c r="F64" s="216">
        <f t="shared" ca="1" si="7"/>
        <v>192.78735647147278</v>
      </c>
      <c r="G64" s="20"/>
    </row>
    <row r="65" spans="1:8">
      <c r="A65" s="33">
        <v>61</v>
      </c>
      <c r="B65" s="5" t="s">
        <v>390</v>
      </c>
      <c r="C65" s="1" t="str">
        <f t="shared" ca="1" si="4"/>
        <v>CIELORRASOS</v>
      </c>
      <c r="D65" s="1" t="str">
        <f t="shared" ca="1" si="5"/>
        <v>suspendido termoacustico</v>
      </c>
      <c r="E65" s="5" t="str">
        <f t="shared" ca="1" si="6"/>
        <v>m2</v>
      </c>
      <c r="F65" s="216">
        <f t="shared" ca="1" si="7"/>
        <v>290.84968555127642</v>
      </c>
      <c r="G65" s="20"/>
    </row>
    <row r="66" spans="1:8">
      <c r="A66" s="33">
        <v>62</v>
      </c>
      <c r="B66" s="5" t="s">
        <v>1648</v>
      </c>
      <c r="C66" s="1" t="str">
        <f t="shared" ca="1" si="4"/>
        <v>REVESTIMIENTOS</v>
      </c>
      <c r="D66" s="1" t="str">
        <f t="shared" ca="1" si="5"/>
        <v>exterior proyectable</v>
      </c>
      <c r="E66" s="5" t="str">
        <f t="shared" ca="1" si="6"/>
        <v>m2</v>
      </c>
      <c r="F66" s="216">
        <f t="shared" ca="1" si="7"/>
        <v>37.172115668851269</v>
      </c>
      <c r="G66" s="20"/>
    </row>
    <row r="67" spans="1:8">
      <c r="A67" s="33">
        <v>63</v>
      </c>
      <c r="B67" s="5" t="s">
        <v>1650</v>
      </c>
      <c r="C67" s="1" t="str">
        <f t="shared" ca="1" si="4"/>
        <v>REVESTIMIENTOS</v>
      </c>
      <c r="D67" s="1" t="str">
        <f t="shared" ca="1" si="5"/>
        <v>azulejos</v>
      </c>
      <c r="E67" s="5" t="str">
        <f t="shared" ca="1" si="6"/>
        <v>m2</v>
      </c>
      <c r="F67" s="216">
        <f t="shared" ca="1" si="7"/>
        <v>175.09020752212814</v>
      </c>
      <c r="G67" s="20"/>
    </row>
    <row r="68" spans="1:8">
      <c r="A68" s="33">
        <v>64</v>
      </c>
      <c r="B68" s="5" t="s">
        <v>1651</v>
      </c>
      <c r="C68" s="1" t="str">
        <f t="shared" ca="1" si="4"/>
        <v>CARPINTERIA</v>
      </c>
      <c r="D68" s="1" t="str">
        <f t="shared" ca="1" si="5"/>
        <v>metal. y madera viv. unifamiliar</v>
      </c>
      <c r="E68" s="5" t="str">
        <f t="shared" ca="1" si="6"/>
        <v>gl</v>
      </c>
      <c r="F68" s="216">
        <f t="shared" ca="1" si="7"/>
        <v>14948.744391928334</v>
      </c>
      <c r="G68" s="20"/>
      <c r="H68" s="20"/>
    </row>
    <row r="69" spans="1:8">
      <c r="A69" s="33">
        <v>65</v>
      </c>
      <c r="B69" s="5" t="s">
        <v>1756</v>
      </c>
      <c r="C69" s="1" t="str">
        <f t="shared" ca="1" si="4"/>
        <v>CARPINTERIA</v>
      </c>
      <c r="D69" s="1" t="str">
        <f t="shared" ca="1" si="5"/>
        <v>metalica viv. unifamiliar</v>
      </c>
      <c r="E69" s="5" t="str">
        <f t="shared" ca="1" si="6"/>
        <v>gl</v>
      </c>
      <c r="F69" s="216">
        <f t="shared" ca="1" si="7"/>
        <v>7969.5896393193398</v>
      </c>
      <c r="G69" s="20"/>
      <c r="H69" s="20"/>
    </row>
    <row r="70" spans="1:8">
      <c r="A70" s="33">
        <v>66</v>
      </c>
      <c r="B70" s="5" t="s">
        <v>1758</v>
      </c>
      <c r="C70" s="1" t="str">
        <f t="shared" ca="1" si="4"/>
        <v>CARPINTERIA</v>
      </c>
      <c r="D70" s="1" t="str">
        <f t="shared" ca="1" si="5"/>
        <v>madera viv. unifamiliar</v>
      </c>
      <c r="E70" s="5" t="str">
        <f t="shared" ca="1" si="6"/>
        <v>gl</v>
      </c>
      <c r="F70" s="216">
        <f t="shared" ca="1" si="7"/>
        <v>6845.4948943725367</v>
      </c>
      <c r="G70" s="20"/>
    </row>
    <row r="71" spans="1:8">
      <c r="A71" s="33">
        <v>67</v>
      </c>
      <c r="B71" s="5" t="s">
        <v>334</v>
      </c>
      <c r="C71" s="1" t="str">
        <f t="shared" ca="1" si="4"/>
        <v>CARPINTERIA</v>
      </c>
      <c r="D71" s="1" t="str">
        <f t="shared" ca="1" si="5"/>
        <v>madera viv. Unifamiliar incl equipam.</v>
      </c>
      <c r="E71" s="5" t="str">
        <f t="shared" ca="1" si="6"/>
        <v>gl</v>
      </c>
      <c r="F71" s="216">
        <f t="shared" ca="1" si="7"/>
        <v>14424.014894372536</v>
      </c>
      <c r="G71" s="20"/>
    </row>
    <row r="72" spans="1:8">
      <c r="A72" s="33">
        <v>68</v>
      </c>
      <c r="B72" s="5" t="s">
        <v>349</v>
      </c>
      <c r="C72" s="1" t="str">
        <f t="shared" ca="1" si="4"/>
        <v>CARPINTERIA</v>
      </c>
      <c r="D72" s="1" t="str">
        <f ca="1">INDIRECT("dfor_"&amp;B72)</f>
        <v>metalica por edificio</v>
      </c>
      <c r="E72" s="5" t="str">
        <f t="shared" ca="1" si="6"/>
        <v>gl</v>
      </c>
      <c r="F72" s="216">
        <f t="shared" ca="1" si="7"/>
        <v>126186.99718547074</v>
      </c>
      <c r="G72" s="20"/>
    </row>
    <row r="73" spans="1:8">
      <c r="A73" s="33">
        <v>69</v>
      </c>
      <c r="B73" s="5" t="s">
        <v>352</v>
      </c>
      <c r="C73" s="1" t="str">
        <f t="shared" ca="1" si="4"/>
        <v>CARPINTERIA</v>
      </c>
      <c r="D73" s="1" t="str">
        <f ca="1">INDIRECT("dfor_"&amp;B73)</f>
        <v>madera por edificio</v>
      </c>
      <c r="E73" s="5" t="str">
        <f t="shared" ca="1" si="6"/>
        <v>gl</v>
      </c>
      <c r="F73" s="216">
        <f t="shared" ca="1" si="7"/>
        <v>61230.005039788542</v>
      </c>
      <c r="G73" s="20"/>
    </row>
    <row r="74" spans="1:8">
      <c r="A74" s="33">
        <v>70</v>
      </c>
      <c r="B74" s="5" t="s">
        <v>1780</v>
      </c>
      <c r="C74" s="1" t="str">
        <f t="shared" ca="1" si="4"/>
        <v>INSTALACION AGUA CALIENTE Y FRIA</v>
      </c>
      <c r="D74" s="1" t="str">
        <f t="shared" ca="1" si="5"/>
        <v>conexión agua p/vivienda unifam.</v>
      </c>
      <c r="E74" s="5" t="str">
        <f t="shared" ca="1" si="6"/>
        <v>gl</v>
      </c>
      <c r="F74" s="216">
        <f t="shared" ca="1" si="7"/>
        <v>2373.8749677482397</v>
      </c>
      <c r="G74" s="20"/>
    </row>
    <row r="75" spans="1:8">
      <c r="A75" s="33">
        <v>71</v>
      </c>
      <c r="B75" s="5" t="s">
        <v>1817</v>
      </c>
      <c r="C75" s="1" t="str">
        <f t="shared" ca="1" si="4"/>
        <v>INSTALACION AGUA CALIENTE Y FRIA</v>
      </c>
      <c r="D75" s="1" t="str">
        <f t="shared" ca="1" si="5"/>
        <v>vivienda unifamiliar sin conex.</v>
      </c>
      <c r="E75" s="5" t="str">
        <f t="shared" ca="1" si="6"/>
        <v>gl</v>
      </c>
      <c r="F75" s="216">
        <f t="shared" ca="1" si="7"/>
        <v>5746.663064146479</v>
      </c>
      <c r="G75" s="20"/>
    </row>
    <row r="76" spans="1:8">
      <c r="A76" s="33">
        <v>72</v>
      </c>
      <c r="B76" s="5" t="s">
        <v>1819</v>
      </c>
      <c r="C76" s="1" t="str">
        <f t="shared" ca="1" si="4"/>
        <v>INSTALACION AGUA CALIENTE Y FRIA</v>
      </c>
      <c r="D76" s="1" t="str">
        <f t="shared" ca="1" si="5"/>
        <v>vivienda unifamiliar c/conexión</v>
      </c>
      <c r="E76" s="5" t="str">
        <f t="shared" ca="1" si="6"/>
        <v>gl</v>
      </c>
      <c r="F76" s="216">
        <f t="shared" ca="1" si="7"/>
        <v>8120.5380318947182</v>
      </c>
      <c r="G76" s="20"/>
    </row>
    <row r="77" spans="1:8">
      <c r="A77" s="33">
        <v>73</v>
      </c>
      <c r="B77" s="5" t="s">
        <v>1654</v>
      </c>
      <c r="C77" s="1" t="str">
        <f t="shared" ca="1" si="4"/>
        <v>INSTALACION AGUA CALIENTE Y FRIA</v>
      </c>
      <c r="D77" s="1" t="str">
        <f t="shared" ca="1" si="5"/>
        <v>vivienda colectiva s/conexión</v>
      </c>
      <c r="E77" s="5" t="str">
        <f t="shared" ca="1" si="6"/>
        <v>gl</v>
      </c>
      <c r="F77" s="216">
        <f t="shared" ca="1" si="7"/>
        <v>24528.393571307857</v>
      </c>
      <c r="G77" s="20"/>
    </row>
    <row r="78" spans="1:8">
      <c r="A78" s="33">
        <v>74</v>
      </c>
      <c r="B78" s="5" t="s">
        <v>1782</v>
      </c>
      <c r="C78" s="1" t="str">
        <f t="shared" ca="1" si="4"/>
        <v>ARTEFACTOS SANITARIOS Y GRIFERIA</v>
      </c>
      <c r="D78" s="1" t="str">
        <f t="shared" ca="1" si="5"/>
        <v>artefactos sanit.y grifer. Viv. Unifam.</v>
      </c>
      <c r="E78" s="5" t="str">
        <f t="shared" ca="1" si="6"/>
        <v>gl</v>
      </c>
      <c r="F78" s="216">
        <f t="shared" ca="1" si="7"/>
        <v>9306.4585057444147</v>
      </c>
      <c r="G78" s="20"/>
    </row>
    <row r="79" spans="1:8">
      <c r="A79" s="33">
        <v>75</v>
      </c>
      <c r="B79" s="5" t="s">
        <v>355</v>
      </c>
      <c r="C79" s="1" t="str">
        <f t="shared" ca="1" si="4"/>
        <v>ARTEFACTOS SANITARIOS Y GRIFERIA</v>
      </c>
      <c r="D79" s="1" t="str">
        <f t="shared" ca="1" si="5"/>
        <v>artefactos sanit.y grifer. Viv. Colectiva</v>
      </c>
      <c r="E79" s="5" t="str">
        <f t="shared" ca="1" si="6"/>
        <v>gl</v>
      </c>
      <c r="F79" s="216">
        <f t="shared" ca="1" si="7"/>
        <v>62668.991988945825</v>
      </c>
      <c r="G79" s="20"/>
    </row>
    <row r="80" spans="1:8">
      <c r="A80" s="33">
        <v>76</v>
      </c>
      <c r="B80" s="5" t="s">
        <v>1826</v>
      </c>
      <c r="C80" s="1" t="str">
        <f t="shared" ca="1" si="4"/>
        <v>DESAGUES CLOACALES Y PLUVIALES</v>
      </c>
      <c r="D80" s="1" t="str">
        <f t="shared" ca="1" si="5"/>
        <v>PVC vivienda indiv. S/ conexión a red</v>
      </c>
      <c r="E80" s="5" t="str">
        <f t="shared" ca="1" si="6"/>
        <v>gl</v>
      </c>
      <c r="F80" s="216">
        <f t="shared" ca="1" si="7"/>
        <v>7321.4765136485303</v>
      </c>
      <c r="G80" s="20"/>
    </row>
    <row r="81" spans="1:7">
      <c r="A81" s="33">
        <v>77</v>
      </c>
      <c r="B81" s="5" t="s">
        <v>1820</v>
      </c>
      <c r="C81" s="1" t="str">
        <f t="shared" ref="C81:C117" ca="1" si="8">INDIRECT("rfor_"&amp;$B81)</f>
        <v>DESAGUES CLOACALES Y PLUVIALES</v>
      </c>
      <c r="D81" s="1" t="str">
        <f t="shared" ref="D81:D117" ca="1" si="9">INDIRECT("dfor_"&amp;B81)</f>
        <v>PVC viv. Unifam. C/conexión a red</v>
      </c>
      <c r="E81" s="5" t="str">
        <f t="shared" ref="E81:E117" ca="1" si="10">INDIRECT("ufor_"&amp;$B81)</f>
        <v>gl</v>
      </c>
      <c r="F81" s="216">
        <f t="shared" ref="F81:F117" ca="1" si="11">INDIRECT("vfor_"&amp;$B81)</f>
        <v>9382.2340249124627</v>
      </c>
      <c r="G81" s="20"/>
    </row>
    <row r="82" spans="1:7">
      <c r="A82" s="33">
        <v>78</v>
      </c>
      <c r="B82" s="5" t="s">
        <v>177</v>
      </c>
      <c r="C82" s="1" t="str">
        <f t="shared" ca="1" si="8"/>
        <v>DESAGUES CLOACALES Y PLUVIALES</v>
      </c>
      <c r="D82" s="1" t="str">
        <f t="shared" ca="1" si="9"/>
        <v>PVC viv. Unifam. Conexión a red</v>
      </c>
      <c r="E82" s="5" t="str">
        <f t="shared" ca="1" si="10"/>
        <v>gl</v>
      </c>
      <c r="F82" s="216">
        <f t="shared" ca="1" si="11"/>
        <v>2060.7575112639315</v>
      </c>
      <c r="G82" s="20"/>
    </row>
    <row r="83" spans="1:7">
      <c r="A83" s="33">
        <v>79</v>
      </c>
      <c r="B83" s="5" t="s">
        <v>325</v>
      </c>
      <c r="C83" s="1" t="str">
        <f t="shared" ca="1" si="8"/>
        <v>DESAGUES CLOACALES Y PLUVIALES</v>
      </c>
      <c r="D83" s="1" t="str">
        <f t="shared" ca="1" si="9"/>
        <v>pozo absorb y camara sep. Viv. unifam.</v>
      </c>
      <c r="E83" s="5" t="str">
        <f t="shared" ca="1" si="10"/>
        <v>gl</v>
      </c>
      <c r="F83" s="216">
        <f t="shared" ca="1" si="11"/>
        <v>12984.911752261112</v>
      </c>
      <c r="G83" s="20"/>
    </row>
    <row r="84" spans="1:7">
      <c r="A84" s="33">
        <v>80</v>
      </c>
      <c r="B84" s="5" t="s">
        <v>356</v>
      </c>
      <c r="C84" s="1" t="str">
        <f t="shared" ca="1" si="8"/>
        <v>DESAGUES CLOACALES Y PLUVIALES</v>
      </c>
      <c r="D84" s="1" t="str">
        <f t="shared" ca="1" si="9"/>
        <v>PVC vivienda Colectiva. s/ conexión a red</v>
      </c>
      <c r="E84" s="5" t="str">
        <f t="shared" ca="1" si="10"/>
        <v>gl</v>
      </c>
      <c r="F84" s="216">
        <f t="shared" ca="1" si="11"/>
        <v>24344.474080363216</v>
      </c>
      <c r="G84" s="20"/>
    </row>
    <row r="85" spans="1:7">
      <c r="A85" s="33">
        <v>81</v>
      </c>
      <c r="B85" s="5" t="s">
        <v>1658</v>
      </c>
      <c r="C85" s="1" t="str">
        <f t="shared" ca="1" si="8"/>
        <v>INSTALACION DE GAS</v>
      </c>
      <c r="D85" s="1" t="str">
        <f t="shared" ca="1" si="9"/>
        <v>Epoxi viv. Unifamiliar p/gas env.</v>
      </c>
      <c r="E85" s="5" t="str">
        <f t="shared" ca="1" si="10"/>
        <v>gl</v>
      </c>
      <c r="F85" s="216">
        <f t="shared" ca="1" si="11"/>
        <v>9898.9174133992201</v>
      </c>
      <c r="G85" s="20"/>
    </row>
    <row r="86" spans="1:7">
      <c r="A86" s="33">
        <v>82</v>
      </c>
      <c r="B86" s="5" t="s">
        <v>1783</v>
      </c>
      <c r="C86" s="1" t="str">
        <f t="shared" ca="1" si="8"/>
        <v>INSTALACION DE GAS</v>
      </c>
      <c r="D86" s="1" t="str">
        <f t="shared" ca="1" si="9"/>
        <v>Epoxi viv. Unifamiliar a red</v>
      </c>
      <c r="E86" s="5" t="str">
        <f t="shared" ca="1" si="10"/>
        <v>gl</v>
      </c>
      <c r="F86" s="216">
        <f t="shared" ca="1" si="11"/>
        <v>12335.842692669972</v>
      </c>
      <c r="G86" s="20"/>
    </row>
    <row r="87" spans="1:7">
      <c r="A87" s="33">
        <v>83</v>
      </c>
      <c r="B87" s="5" t="s">
        <v>336</v>
      </c>
      <c r="C87" s="1" t="str">
        <f t="shared" ca="1" si="8"/>
        <v>INSTALACION DE GAS</v>
      </c>
      <c r="D87" s="1" t="str">
        <f t="shared" ca="1" si="9"/>
        <v>Epoxi viv. Unifamiliar a red c/artefactos</v>
      </c>
      <c r="E87" s="5" t="str">
        <f t="shared" ca="1" si="10"/>
        <v>gl</v>
      </c>
      <c r="F87" s="216">
        <f t="shared" ca="1" si="11"/>
        <v>20142.50569067958</v>
      </c>
      <c r="G87" s="20"/>
    </row>
    <row r="88" spans="1:7">
      <c r="A88" s="33">
        <v>84</v>
      </c>
      <c r="B88" s="5" t="s">
        <v>1659</v>
      </c>
      <c r="C88" s="1" t="str">
        <f t="shared" ca="1" si="8"/>
        <v>INSTALACION DE GAS</v>
      </c>
      <c r="D88" s="1" t="str">
        <f t="shared" ca="1" si="9"/>
        <v>HºNº vivienda colectiva</v>
      </c>
      <c r="E88" s="5" t="str">
        <f t="shared" ca="1" si="10"/>
        <v>gl</v>
      </c>
      <c r="F88" s="216">
        <f t="shared" ca="1" si="11"/>
        <v>171610.93800501677</v>
      </c>
      <c r="G88" s="20"/>
    </row>
    <row r="89" spans="1:7">
      <c r="A89" s="33">
        <v>85</v>
      </c>
      <c r="B89" s="5" t="s">
        <v>1660</v>
      </c>
      <c r="C89" s="1" t="str">
        <f t="shared" ca="1" si="8"/>
        <v>ARTEFACTOS DE GAS</v>
      </c>
      <c r="D89" s="1" t="str">
        <f t="shared" ca="1" si="9"/>
        <v>Artefactos de gas y acces.</v>
      </c>
      <c r="E89" s="5" t="str">
        <f t="shared" ca="1" si="10"/>
        <v>gl</v>
      </c>
      <c r="F89" s="216">
        <f t="shared" ca="1" si="11"/>
        <v>7784.3796109103132</v>
      </c>
      <c r="G89" s="20"/>
    </row>
    <row r="90" spans="1:7" s="123" customFormat="1">
      <c r="A90" s="143">
        <v>86</v>
      </c>
      <c r="B90" s="19" t="s">
        <v>1662</v>
      </c>
      <c r="C90" s="123" t="str">
        <f t="shared" ca="1" si="8"/>
        <v>INSTALACION ELECTRICA</v>
      </c>
      <c r="D90" s="123" t="str">
        <f t="shared" ca="1" si="9"/>
        <v>Viv. unifamiliar 3 dorm.</v>
      </c>
      <c r="E90" s="19" t="str">
        <f t="shared" ca="1" si="10"/>
        <v>gl</v>
      </c>
      <c r="F90" s="216">
        <f t="shared" ca="1" si="11"/>
        <v>8375.7814596703593</v>
      </c>
      <c r="G90" s="144"/>
    </row>
    <row r="91" spans="1:7">
      <c r="A91" s="33">
        <v>87</v>
      </c>
      <c r="B91" s="5" t="s">
        <v>1664</v>
      </c>
      <c r="C91" s="1" t="str">
        <f t="shared" ca="1" si="8"/>
        <v>INSTALACION ELECTRICA</v>
      </c>
      <c r="D91" s="1" t="str">
        <f t="shared" ca="1" si="9"/>
        <v>Vivienda colectiva completa</v>
      </c>
      <c r="E91" s="5" t="str">
        <f t="shared" ca="1" si="10"/>
        <v>gl</v>
      </c>
      <c r="F91" s="216">
        <f t="shared" ca="1" si="11"/>
        <v>112473.78190306942</v>
      </c>
      <c r="G91" s="20"/>
    </row>
    <row r="92" spans="1:7">
      <c r="A92" s="33">
        <v>88</v>
      </c>
      <c r="B92" s="5" t="s">
        <v>1815</v>
      </c>
      <c r="C92" s="1" t="str">
        <f t="shared" ca="1" si="8"/>
        <v>INSTALACION ELECTRICA</v>
      </c>
      <c r="D92" s="1" t="str">
        <f t="shared" ca="1" si="9"/>
        <v>Viv. Unifamiliar c/acomet. a pilar</v>
      </c>
      <c r="E92" s="5" t="str">
        <f t="shared" ca="1" si="10"/>
        <v>gl</v>
      </c>
      <c r="F92" s="216">
        <f t="shared" ca="1" si="11"/>
        <v>8688.3966017333078</v>
      </c>
      <c r="G92" s="20"/>
    </row>
    <row r="93" spans="1:7">
      <c r="A93" s="33">
        <v>89</v>
      </c>
      <c r="B93" s="5" t="s">
        <v>1665</v>
      </c>
      <c r="C93" s="1" t="str">
        <f t="shared" ca="1" si="8"/>
        <v>PINTURA</v>
      </c>
      <c r="D93" s="1" t="str">
        <f t="shared" ca="1" si="9"/>
        <v>pintura al látex</v>
      </c>
      <c r="E93" s="5" t="str">
        <f t="shared" ca="1" si="10"/>
        <v>m2</v>
      </c>
      <c r="F93" s="216">
        <f t="shared" ca="1" si="11"/>
        <v>57.018627016223604</v>
      </c>
      <c r="G93" s="20"/>
    </row>
    <row r="94" spans="1:7">
      <c r="A94" s="33">
        <v>90</v>
      </c>
      <c r="B94" s="5" t="s">
        <v>1667</v>
      </c>
      <c r="C94" s="1" t="str">
        <f t="shared" ca="1" si="8"/>
        <v>PINTURA</v>
      </c>
      <c r="D94" s="1" t="str">
        <f t="shared" ca="1" si="9"/>
        <v>pintura a la cal</v>
      </c>
      <c r="E94" s="5" t="str">
        <f t="shared" ca="1" si="10"/>
        <v>m2</v>
      </c>
      <c r="F94" s="216">
        <f t="shared" ca="1" si="11"/>
        <v>17.636310933782521</v>
      </c>
      <c r="G94" s="20"/>
    </row>
    <row r="95" spans="1:7">
      <c r="A95" s="33">
        <v>91</v>
      </c>
      <c r="B95" s="5" t="s">
        <v>1668</v>
      </c>
      <c r="C95" s="1" t="str">
        <f t="shared" ca="1" si="8"/>
        <v>PINTURA</v>
      </c>
      <c r="D95" s="1" t="str">
        <f t="shared" ca="1" si="9"/>
        <v>pintura al agua</v>
      </c>
      <c r="E95" s="5" t="str">
        <f t="shared" ca="1" si="10"/>
        <v>m2</v>
      </c>
      <c r="F95" s="216">
        <f t="shared" ca="1" si="11"/>
        <v>19.083501016427149</v>
      </c>
      <c r="G95" s="20"/>
    </row>
    <row r="96" spans="1:7">
      <c r="A96" s="33">
        <v>92</v>
      </c>
      <c r="B96" s="5" t="s">
        <v>1721</v>
      </c>
      <c r="C96" s="1" t="str">
        <f t="shared" ca="1" si="8"/>
        <v>PINTURA</v>
      </c>
      <c r="D96" s="1" t="str">
        <f t="shared" ca="1" si="9"/>
        <v>en carpintería metál.y de madera</v>
      </c>
      <c r="E96" s="5" t="str">
        <f t="shared" ca="1" si="10"/>
        <v>m2</v>
      </c>
      <c r="F96" s="216">
        <f t="shared" ca="1" si="11"/>
        <v>73.63489456157636</v>
      </c>
      <c r="G96" s="20"/>
    </row>
    <row r="97" spans="1:7">
      <c r="A97" s="33">
        <v>93</v>
      </c>
      <c r="B97" s="5" t="s">
        <v>182</v>
      </c>
      <c r="C97" s="1" t="str">
        <f t="shared" ca="1" si="8"/>
        <v>PINTURA</v>
      </c>
      <c r="D97" s="1" t="str">
        <f t="shared" ca="1" si="9"/>
        <v>en carpintería  de madera</v>
      </c>
      <c r="E97" s="5" t="str">
        <f t="shared" ca="1" si="10"/>
        <v>m2</v>
      </c>
      <c r="F97" s="216">
        <f t="shared" ca="1" si="11"/>
        <v>47.547474950107897</v>
      </c>
      <c r="G97" s="20"/>
    </row>
    <row r="98" spans="1:7">
      <c r="A98" s="33">
        <v>94</v>
      </c>
      <c r="B98" s="5" t="s">
        <v>183</v>
      </c>
      <c r="C98" s="1" t="str">
        <f t="shared" ca="1" si="8"/>
        <v>PINTURA</v>
      </c>
      <c r="D98" s="1" t="str">
        <f t="shared" ca="1" si="9"/>
        <v>en carpintería  metálica</v>
      </c>
      <c r="E98" s="5" t="str">
        <f t="shared" ca="1" si="10"/>
        <v>m2</v>
      </c>
      <c r="F98" s="216">
        <f t="shared" ca="1" si="11"/>
        <v>62.580197288849099</v>
      </c>
      <c r="G98" s="20"/>
    </row>
    <row r="99" spans="1:7">
      <c r="A99" s="33">
        <v>95</v>
      </c>
      <c r="B99" s="5" t="s">
        <v>184</v>
      </c>
      <c r="C99" s="1" t="str">
        <f t="shared" ca="1" si="8"/>
        <v>PINTURA</v>
      </c>
      <c r="D99" s="1" t="str">
        <f t="shared" ca="1" si="9"/>
        <v>pintura p/ladrillo visto</v>
      </c>
      <c r="E99" s="5" t="str">
        <f t="shared" ca="1" si="10"/>
        <v>m2</v>
      </c>
      <c r="F99" s="216">
        <f t="shared" ca="1" si="11"/>
        <v>71.12522649421004</v>
      </c>
      <c r="G99" s="20"/>
    </row>
    <row r="100" spans="1:7">
      <c r="A100" s="33">
        <v>96</v>
      </c>
      <c r="B100" s="5" t="s">
        <v>1669</v>
      </c>
      <c r="C100" s="1" t="str">
        <f t="shared" ca="1" si="8"/>
        <v>VIDRIOS</v>
      </c>
      <c r="D100" s="1" t="str">
        <f t="shared" ca="1" si="9"/>
        <v>vidrios dobles transparentes</v>
      </c>
      <c r="E100" s="5" t="str">
        <f t="shared" ca="1" si="10"/>
        <v>m2</v>
      </c>
      <c r="F100" s="216">
        <f t="shared" ca="1" si="11"/>
        <v>222.67000000000002</v>
      </c>
      <c r="G100" s="20"/>
    </row>
    <row r="101" spans="1:7">
      <c r="A101" s="33">
        <v>97</v>
      </c>
      <c r="B101" s="5" t="s">
        <v>21</v>
      </c>
      <c r="C101" s="1" t="str">
        <f t="shared" ca="1" si="8"/>
        <v>VARIOS</v>
      </c>
      <c r="D101" s="1" t="str">
        <f t="shared" ca="1" si="9"/>
        <v>cercos alambrado 4 hilos galvan.</v>
      </c>
      <c r="E101" s="5" t="str">
        <f t="shared" ca="1" si="10"/>
        <v>m</v>
      </c>
      <c r="F101" s="216">
        <f t="shared" ca="1" si="11"/>
        <v>34.69602310512397</v>
      </c>
      <c r="G101" s="20"/>
    </row>
    <row r="102" spans="1:7">
      <c r="A102" s="33">
        <v>98</v>
      </c>
      <c r="B102" s="5" t="s">
        <v>1833</v>
      </c>
      <c r="C102" s="1" t="str">
        <f t="shared" ca="1" si="8"/>
        <v>VARIOS</v>
      </c>
      <c r="D102" s="1" t="str">
        <f t="shared" ca="1" si="9"/>
        <v>cercos mojón divisorio</v>
      </c>
      <c r="E102" s="5" t="str">
        <f t="shared" ca="1" si="10"/>
        <v>u</v>
      </c>
      <c r="F102" s="216">
        <f t="shared" ca="1" si="11"/>
        <v>281.40402196113473</v>
      </c>
      <c r="G102" s="20"/>
    </row>
    <row r="103" spans="1:7">
      <c r="A103" s="33">
        <v>99</v>
      </c>
      <c r="B103" s="5" t="s">
        <v>24</v>
      </c>
      <c r="C103" s="1" t="str">
        <f t="shared" ca="1" si="8"/>
        <v>VARIOS</v>
      </c>
      <c r="D103" s="1" t="str">
        <f t="shared" ca="1" si="9"/>
        <v>cerco olímpico alambre romboidal</v>
      </c>
      <c r="E103" s="5" t="str">
        <f t="shared" ca="1" si="10"/>
        <v>m</v>
      </c>
      <c r="F103" s="216">
        <f t="shared" ca="1" si="11"/>
        <v>402.69292081707101</v>
      </c>
      <c r="G103" s="20"/>
    </row>
    <row r="104" spans="1:7">
      <c r="A104" s="33">
        <v>100</v>
      </c>
      <c r="B104" s="5" t="s">
        <v>25</v>
      </c>
      <c r="C104" s="1" t="str">
        <f t="shared" ca="1" si="8"/>
        <v>VARIOS</v>
      </c>
      <c r="D104" s="1" t="str">
        <f t="shared" ca="1" si="9"/>
        <v>mesada de gran. reconst. c/bacha y pileta lavar</v>
      </c>
      <c r="E104" s="5" t="str">
        <f t="shared" ca="1" si="10"/>
        <v>gl</v>
      </c>
      <c r="F104" s="216">
        <f t="shared" ca="1" si="11"/>
        <v>1731.3726267540505</v>
      </c>
      <c r="G104" s="20"/>
    </row>
    <row r="105" spans="1:7">
      <c r="A105" s="33">
        <v>101</v>
      </c>
      <c r="B105" s="5" t="s">
        <v>26</v>
      </c>
      <c r="C105" s="1" t="str">
        <f t="shared" ca="1" si="8"/>
        <v>VARIOS</v>
      </c>
      <c r="D105" s="1" t="str">
        <f t="shared" ca="1" si="9"/>
        <v>forestacion</v>
      </c>
      <c r="E105" s="5" t="str">
        <f t="shared" ca="1" si="10"/>
        <v>gl</v>
      </c>
      <c r="F105" s="216">
        <f t="shared" ca="1" si="11"/>
        <v>144.45669421487605</v>
      </c>
      <c r="G105" s="20"/>
    </row>
    <row r="106" spans="1:7">
      <c r="A106" s="33">
        <v>102</v>
      </c>
      <c r="B106" s="5" t="s">
        <v>28</v>
      </c>
      <c r="C106" s="1" t="str">
        <f t="shared" ca="1" si="8"/>
        <v>VARIOS</v>
      </c>
      <c r="D106" s="1" t="str">
        <f t="shared" ca="1" si="9"/>
        <v>pergolas</v>
      </c>
      <c r="E106" s="5" t="str">
        <f t="shared" ca="1" si="10"/>
        <v>gl</v>
      </c>
      <c r="F106" s="216">
        <f t="shared" ca="1" si="11"/>
        <v>1827.7460055096421</v>
      </c>
      <c r="G106" s="20"/>
    </row>
    <row r="107" spans="1:7">
      <c r="A107" s="33">
        <v>103</v>
      </c>
      <c r="B107" s="5" t="s">
        <v>188</v>
      </c>
      <c r="C107" s="1" t="str">
        <f t="shared" ca="1" si="8"/>
        <v>VARIOS</v>
      </c>
      <c r="D107" s="1" t="str">
        <f t="shared" ca="1" si="9"/>
        <v>limpieza final de obra</v>
      </c>
      <c r="E107" s="5" t="str">
        <f t="shared" ca="1" si="10"/>
        <v>m2</v>
      </c>
      <c r="F107" s="216">
        <f t="shared" ca="1" si="11"/>
        <v>9.6745267748239616</v>
      </c>
      <c r="G107" s="20"/>
    </row>
    <row r="108" spans="1:7">
      <c r="A108" s="33">
        <v>104</v>
      </c>
      <c r="B108" s="5" t="s">
        <v>323</v>
      </c>
      <c r="C108" s="1" t="str">
        <f t="shared" ca="1" si="8"/>
        <v>VARIOS</v>
      </c>
      <c r="D108" s="1" t="str">
        <f t="shared" ca="1" si="9"/>
        <v>documentacion técnica</v>
      </c>
      <c r="E108" s="5" t="str">
        <f t="shared" ca="1" si="10"/>
        <v>u</v>
      </c>
      <c r="F108" s="216">
        <f t="shared" ca="1" si="11"/>
        <v>6241.3280000000004</v>
      </c>
      <c r="G108" s="20"/>
    </row>
    <row r="109" spans="1:7">
      <c r="A109" s="33">
        <v>105</v>
      </c>
      <c r="B109" s="5" t="s">
        <v>327</v>
      </c>
      <c r="C109" s="1" t="str">
        <f t="shared" ca="1" si="8"/>
        <v>VARIOS</v>
      </c>
      <c r="D109" s="1" t="str">
        <f t="shared" ca="1" si="9"/>
        <v>hormigón simple 350 kg</v>
      </c>
      <c r="E109" s="5" t="str">
        <f t="shared" ca="1" si="10"/>
        <v>m3</v>
      </c>
      <c r="F109" s="216">
        <f t="shared" ca="1" si="11"/>
        <v>1103.1236200804228</v>
      </c>
      <c r="G109" s="20"/>
    </row>
    <row r="110" spans="1:7">
      <c r="A110" s="33">
        <v>106</v>
      </c>
      <c r="B110" s="5" t="s">
        <v>358</v>
      </c>
      <c r="C110" s="1" t="str">
        <f t="shared" ca="1" si="8"/>
        <v>VARIOS</v>
      </c>
      <c r="D110" s="1" t="str">
        <f t="shared" ca="1" si="9"/>
        <v>Instalación contra incendios edificios</v>
      </c>
      <c r="E110" s="5" t="str">
        <f t="shared" ca="1" si="10"/>
        <v>gl</v>
      </c>
      <c r="F110" s="216">
        <f t="shared" ca="1" si="11"/>
        <v>3508.258578344256</v>
      </c>
      <c r="G110" s="20"/>
    </row>
    <row r="111" spans="1:7">
      <c r="A111" s="33">
        <v>107</v>
      </c>
      <c r="B111" s="5" t="s">
        <v>380</v>
      </c>
      <c r="C111" s="1" t="str">
        <f t="shared" ca="1" si="8"/>
        <v>VARIOS</v>
      </c>
      <c r="D111" s="1" t="str">
        <f t="shared" ca="1" si="9"/>
        <v>mesada de granito natural c/bacha</v>
      </c>
      <c r="E111" s="5" t="str">
        <f t="shared" ca="1" si="10"/>
        <v>gl</v>
      </c>
      <c r="F111" s="216">
        <f t="shared" ca="1" si="11"/>
        <v>2974.4362631176873</v>
      </c>
      <c r="G111" s="20"/>
    </row>
    <row r="112" spans="1:7">
      <c r="A112" s="33">
        <v>108</v>
      </c>
      <c r="B112" s="5" t="s">
        <v>1731</v>
      </c>
      <c r="C112" s="1" t="str">
        <f t="shared" ca="1" si="8"/>
        <v>REDES DE AGUA</v>
      </c>
      <c r="D112" s="1" t="str">
        <f t="shared" ca="1" si="9"/>
        <v>PEAD  c/conexión hasta kit med</v>
      </c>
      <c r="E112" s="5" t="str">
        <f t="shared" ca="1" si="10"/>
        <v>m</v>
      </c>
      <c r="F112" s="216">
        <f t="shared" ca="1" si="11"/>
        <v>261.42201550971032</v>
      </c>
      <c r="G112" s="20"/>
    </row>
    <row r="113" spans="1:8">
      <c r="A113" s="33">
        <v>109</v>
      </c>
      <c r="B113" s="5" t="s">
        <v>1732</v>
      </c>
      <c r="C113" s="1" t="str">
        <f t="shared" ca="1" si="8"/>
        <v>REDES DE AGUA</v>
      </c>
      <c r="D113" s="1" t="str">
        <f t="shared" ca="1" si="9"/>
        <v>PEAD  s/conexión</v>
      </c>
      <c r="E113" s="5" t="str">
        <f t="shared" ca="1" si="10"/>
        <v>m</v>
      </c>
      <c r="F113" s="216">
        <f t="shared" ca="1" si="11"/>
        <v>236.71443071632186</v>
      </c>
      <c r="G113" s="20"/>
    </row>
    <row r="114" spans="1:8">
      <c r="A114" s="33">
        <v>110</v>
      </c>
      <c r="B114" s="5" t="s">
        <v>320</v>
      </c>
      <c r="C114" s="1" t="str">
        <f t="shared" ca="1" si="8"/>
        <v>REDES DE AGUA</v>
      </c>
      <c r="D114" s="1" t="str">
        <f ca="1">INDIRECT("dfor_"&amp;B114)</f>
        <v>Comando y Equipo Bombeo</v>
      </c>
      <c r="E114" s="5" t="str">
        <f t="shared" ca="1" si="10"/>
        <v>gl</v>
      </c>
      <c r="F114" s="216">
        <f t="shared" ca="1" si="11"/>
        <v>121903.71667237568</v>
      </c>
      <c r="G114" s="20"/>
    </row>
    <row r="115" spans="1:8">
      <c r="A115" s="33">
        <v>111</v>
      </c>
      <c r="B115" s="5" t="s">
        <v>1741</v>
      </c>
      <c r="C115" s="1" t="str">
        <f t="shared" ca="1" si="8"/>
        <v>REDES DE CLOACA</v>
      </c>
      <c r="D115" s="1" t="str">
        <f t="shared" ca="1" si="9"/>
        <v>de PVC c/conexión</v>
      </c>
      <c r="E115" s="5" t="str">
        <f t="shared" ca="1" si="10"/>
        <v>m</v>
      </c>
      <c r="F115" s="216">
        <f t="shared" ca="1" si="11"/>
        <v>455.23841067654314</v>
      </c>
      <c r="G115" s="20"/>
      <c r="H115" s="20"/>
    </row>
    <row r="116" spans="1:8">
      <c r="A116" s="33">
        <v>112</v>
      </c>
      <c r="B116" s="5" t="s">
        <v>190</v>
      </c>
      <c r="C116" s="1" t="str">
        <f t="shared" ca="1" si="8"/>
        <v>REDES DE CLOACA</v>
      </c>
      <c r="D116" s="1" t="str">
        <f t="shared" ca="1" si="9"/>
        <v>de PVC s/conexión</v>
      </c>
      <c r="E116" s="5" t="str">
        <f t="shared" ca="1" si="10"/>
        <v>m</v>
      </c>
      <c r="F116" s="216">
        <f t="shared" ca="1" si="11"/>
        <v>357.24796672167912</v>
      </c>
      <c r="G116" s="20"/>
      <c r="H116" s="20"/>
    </row>
    <row r="117" spans="1:8">
      <c r="A117" s="33">
        <v>113</v>
      </c>
      <c r="B117" s="5" t="s">
        <v>1744</v>
      </c>
      <c r="C117" s="1" t="str">
        <f t="shared" ca="1" si="8"/>
        <v>RED DE GAS</v>
      </c>
      <c r="D117" s="1" t="str">
        <f t="shared" ca="1" si="9"/>
        <v>PEAD  varios Ø MM</v>
      </c>
      <c r="E117" s="5" t="str">
        <f t="shared" ca="1" si="10"/>
        <v>m</v>
      </c>
      <c r="F117" s="216">
        <f t="shared" ca="1" si="11"/>
        <v>195.02137245788327</v>
      </c>
      <c r="G117" s="20"/>
    </row>
    <row r="118" spans="1:8">
      <c r="A118" s="33">
        <v>114</v>
      </c>
      <c r="B118" s="5" t="s">
        <v>1747</v>
      </c>
      <c r="C118" s="1" t="str">
        <f t="shared" ref="C118:C125" ca="1" si="12">INDIRECT("rfor_"&amp;$B118)</f>
        <v>S.E.T.A.</v>
      </c>
      <c r="D118" s="1" t="str">
        <f t="shared" ref="D118:D125" ca="1" si="13">INDIRECT("dfor_"&amp;B118)</f>
        <v xml:space="preserve">construcción de SETA 315 Kva. </v>
      </c>
      <c r="E118" s="5" t="str">
        <f t="shared" ref="E118:E125" ca="1" si="14">INDIRECT("ufor_"&amp;$B118)</f>
        <v>u</v>
      </c>
      <c r="F118" s="216">
        <f t="shared" ref="F118:F125" ca="1" si="15">INDIRECT("vfor_"&amp;$B118)</f>
        <v>208967.29892762745</v>
      </c>
      <c r="G118" s="85">
        <v>14992.864</v>
      </c>
    </row>
    <row r="119" spans="1:8">
      <c r="A119" s="33">
        <v>115</v>
      </c>
      <c r="B119" s="5" t="s">
        <v>1748</v>
      </c>
      <c r="C119" s="1" t="str">
        <f t="shared" ca="1" si="12"/>
        <v>RED DE MEDIA TENSION</v>
      </c>
      <c r="D119" s="1" t="str">
        <f t="shared" ca="1" si="13"/>
        <v>tendido de Red Media Tensión</v>
      </c>
      <c r="E119" s="5" t="str">
        <f t="shared" ca="1" si="14"/>
        <v>gl</v>
      </c>
      <c r="F119" s="216">
        <f t="shared" ca="1" si="15"/>
        <v>39881.382789904485</v>
      </c>
      <c r="G119" s="20">
        <v>2120.6419999999998</v>
      </c>
    </row>
    <row r="120" spans="1:8">
      <c r="A120" s="33">
        <v>116</v>
      </c>
      <c r="B120" s="5" t="s">
        <v>1750</v>
      </c>
      <c r="C120" s="1" t="str">
        <f t="shared" ca="1" si="12"/>
        <v>RED DE BAJA TENSION</v>
      </c>
      <c r="D120" s="1" t="str">
        <f t="shared" ca="1" si="13"/>
        <v>tendido baja tension</v>
      </c>
      <c r="E120" s="5" t="str">
        <f t="shared" ca="1" si="14"/>
        <v>gl</v>
      </c>
      <c r="F120" s="216">
        <f t="shared" ca="1" si="15"/>
        <v>26971.506127669785</v>
      </c>
      <c r="G120" s="20">
        <v>1398.308</v>
      </c>
    </row>
    <row r="121" spans="1:8">
      <c r="A121" s="33">
        <v>117</v>
      </c>
      <c r="B121" s="5" t="s">
        <v>291</v>
      </c>
      <c r="C121" s="1" t="str">
        <f t="shared" ca="1" si="12"/>
        <v>ALUMBRADO PUBLICO</v>
      </c>
      <c r="D121" s="1" t="str">
        <f t="shared" ca="1" si="13"/>
        <v>alumbrado público p/barrios</v>
      </c>
      <c r="E121" s="5" t="str">
        <f t="shared" ca="1" si="14"/>
        <v>gl</v>
      </c>
      <c r="F121" s="216">
        <f t="shared" ca="1" si="15"/>
        <v>52407.101144557426</v>
      </c>
      <c r="G121" s="20">
        <v>2906.569</v>
      </c>
    </row>
    <row r="122" spans="1:8">
      <c r="A122" s="33">
        <v>118</v>
      </c>
      <c r="B122" s="5" t="s">
        <v>197</v>
      </c>
      <c r="C122" s="1" t="str">
        <f t="shared" ca="1" si="12"/>
        <v>RED VIAL</v>
      </c>
      <c r="D122" s="1" t="str">
        <f t="shared" ca="1" si="13"/>
        <v>cordón cuneta de HºAº</v>
      </c>
      <c r="E122" s="5" t="str">
        <f t="shared" ca="1" si="14"/>
        <v>m</v>
      </c>
      <c r="F122" s="216">
        <f t="shared" ca="1" si="15"/>
        <v>206.76297448580721</v>
      </c>
      <c r="G122" s="20"/>
    </row>
    <row r="123" spans="1:8">
      <c r="A123" s="33">
        <v>119</v>
      </c>
      <c r="B123" s="5" t="s">
        <v>199</v>
      </c>
      <c r="C123" s="1" t="str">
        <f t="shared" ca="1" si="12"/>
        <v>RED VIAL</v>
      </c>
      <c r="D123" s="1" t="str">
        <f t="shared" ca="1" si="13"/>
        <v>pavimento articulado c/subbase</v>
      </c>
      <c r="E123" s="5" t="str">
        <f t="shared" ca="1" si="14"/>
        <v>m2</v>
      </c>
      <c r="F123" s="216">
        <f t="shared" ca="1" si="15"/>
        <v>276.2375545218548</v>
      </c>
      <c r="G123" s="20"/>
    </row>
    <row r="124" spans="1:8">
      <c r="A124" s="33">
        <v>120</v>
      </c>
      <c r="B124" s="5" t="s">
        <v>198</v>
      </c>
      <c r="C124" s="1" t="str">
        <f t="shared" ca="1" si="12"/>
        <v>RED VIAL</v>
      </c>
      <c r="D124" s="1" t="str">
        <f t="shared" ca="1" si="13"/>
        <v>pavimento de hormigón e= 0.15</v>
      </c>
      <c r="E124" s="5" t="str">
        <f t="shared" ca="1" si="14"/>
        <v>m2</v>
      </c>
      <c r="F124" s="216">
        <f t="shared" ca="1" si="15"/>
        <v>246.39157893143903</v>
      </c>
      <c r="G124" s="20"/>
    </row>
    <row r="125" spans="1:8">
      <c r="A125" s="33">
        <v>121</v>
      </c>
      <c r="B125" s="5" t="s">
        <v>200</v>
      </c>
      <c r="C125" s="1" t="str">
        <f t="shared" ca="1" si="12"/>
        <v>RED VIAL</v>
      </c>
      <c r="D125" s="1" t="str">
        <f t="shared" ca="1" si="13"/>
        <v>enripiado e=10 cm</v>
      </c>
      <c r="E125" s="5" t="str">
        <f t="shared" ca="1" si="14"/>
        <v>m2</v>
      </c>
      <c r="F125" s="216">
        <f t="shared" ca="1" si="15"/>
        <v>72.40317118007934</v>
      </c>
      <c r="G125" s="20"/>
    </row>
    <row r="126" spans="1:8">
      <c r="A126" s="422"/>
      <c r="B126" s="422"/>
      <c r="C126" s="423"/>
      <c r="D126" s="423"/>
      <c r="E126" s="422"/>
      <c r="F126" s="424"/>
    </row>
  </sheetData>
  <customSheetViews>
    <customSheetView guid="{0D76B64C-AC04-4788-917D-4511FD9E9090}" showRuler="0" topLeftCell="A3">
      <selection activeCell="D24" sqref="D24"/>
      <pageMargins left="0.75" right="0.75" top="1" bottom="1" header="0" footer="0"/>
      <pageSetup paperSize="9" orientation="portrait" r:id="rId1"/>
      <headerFooter alignWithMargins="0"/>
    </customSheetView>
    <customSheetView guid="{C15E55D9-D809-4247-9CD0-BFBEBF5D5546}" scale="90" showRuler="0" topLeftCell="A6">
      <selection activeCell="B36" sqref="B36"/>
      <pageMargins left="0.75" right="0.75" top="1" bottom="1" header="0" footer="0"/>
      <pageSetup paperSize="9" orientation="portrait" r:id="rId2"/>
      <headerFooter alignWithMargins="0"/>
    </customSheetView>
    <customSheetView guid="{D8392041-DA66-4755-A670-C1D45774EC77}" scale="90" hiddenColumns="1" showRuler="0" topLeftCell="C1">
      <selection activeCell="D13" sqref="D11:D13"/>
      <pageMargins left="0.75" right="0.75" top="1" bottom="1" header="0" footer="0"/>
      <pageSetup paperSize="5" scale="75" orientation="portrait" r:id="rId3"/>
      <headerFooter alignWithMargins="0"/>
    </customSheetView>
  </customSheetViews>
  <mergeCells count="2">
    <mergeCell ref="A2:F2"/>
    <mergeCell ref="A1:F1"/>
  </mergeCells>
  <phoneticPr fontId="0" type="noConversion"/>
  <pageMargins left="0.74803149606299213" right="0" top="0.98425196850393704" bottom="1.1811023622047245" header="0" footer="0"/>
  <pageSetup paperSize="9" scale="79" fitToHeight="2" orientation="portrait" r:id="rId4"/>
  <headerFooter alignWithMargins="0"/>
  <tableParts count="1"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 syncVertical="1" syncRef="A37" transitionEvaluation="1" codeName="Hoja9">
    <tabColor indexed="46"/>
  </sheetPr>
  <dimension ref="A1:G104"/>
  <sheetViews>
    <sheetView showGridLines="0" topLeftCell="A37" zoomScale="90" zoomScaleNormal="75" zoomScaleSheetLayoutView="75" workbookViewId="0">
      <selection activeCell="A54" sqref="A54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8" width="15.21875" style="1" customWidth="1"/>
    <col min="9" max="16384" width="9.77734375" style="1"/>
  </cols>
  <sheetData>
    <row r="1" spans="1:7" ht="13.5" thickBot="1">
      <c r="D1" s="51"/>
      <c r="E1" s="51"/>
      <c r="F1" s="69"/>
    </row>
    <row r="2" spans="1:7" ht="13.5" thickTop="1">
      <c r="A2" s="75" t="s">
        <v>342</v>
      </c>
      <c r="B2" s="218" t="s">
        <v>1628</v>
      </c>
      <c r="C2" s="77" t="str">
        <f>Fecha</f>
        <v>Oct-14</v>
      </c>
      <c r="D2" s="48"/>
      <c r="E2" s="48"/>
      <c r="F2" s="219">
        <f>SUM(F4:F11)</f>
        <v>94.971721518380235</v>
      </c>
      <c r="G2" s="41"/>
    </row>
    <row r="3" spans="1:7" ht="13.5" thickBot="1">
      <c r="A3" s="7" t="s">
        <v>341</v>
      </c>
      <c r="B3" s="7" t="s">
        <v>1629</v>
      </c>
      <c r="C3" s="78" t="s">
        <v>340</v>
      </c>
      <c r="D3" s="49" t="s">
        <v>1677</v>
      </c>
      <c r="E3" s="50"/>
      <c r="F3" s="68"/>
      <c r="G3" s="42" t="s">
        <v>1876</v>
      </c>
    </row>
    <row r="4" spans="1:7" ht="13.5" thickTop="1">
      <c r="A4" s="82" t="s">
        <v>346</v>
      </c>
      <c r="D4" s="51"/>
      <c r="E4" s="51"/>
      <c r="F4" s="69"/>
    </row>
    <row r="5" spans="1:7">
      <c r="A5" s="3" t="s">
        <v>1585</v>
      </c>
      <c r="B5" s="4" t="str">
        <f>VLOOKUP(A5,Insumos,2)</f>
        <v>cal hidratada en bolsa</v>
      </c>
      <c r="C5" s="6" t="str">
        <f>VLOOKUP(A5,Insumos,3)</f>
        <v>kg</v>
      </c>
      <c r="D5" s="51">
        <v>7</v>
      </c>
      <c r="E5" s="51">
        <f>VLOOKUP(A5,'IN-10-14'!A6:D880,4)</f>
        <v>1.9256198347107438</v>
      </c>
      <c r="F5" s="69">
        <f>(D5*E5)</f>
        <v>13.479338842975206</v>
      </c>
    </row>
    <row r="6" spans="1:7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4.0999999999999996</v>
      </c>
      <c r="E6" s="51">
        <f>VLOOKUP(A6,'IN-10-14'!A7:D881,4)</f>
        <v>1.7372000000000001</v>
      </c>
      <c r="F6" s="69">
        <f>(D6*E6)</f>
        <v>7.1225199999999997</v>
      </c>
    </row>
    <row r="7" spans="1:7">
      <c r="A7" s="3" t="s">
        <v>1590</v>
      </c>
      <c r="B7" s="4" t="str">
        <f>VLOOKUP(A7,Insumos,2)</f>
        <v>ripiosa</v>
      </c>
      <c r="C7" s="6" t="str">
        <f>VLOOKUP(A7,Insumos,3)</f>
        <v>m3</v>
      </c>
      <c r="D7" s="51">
        <v>0.15</v>
      </c>
      <c r="E7" s="51">
        <f>VLOOKUP(A7,'IN-10-14'!A8:D882,4)</f>
        <v>174.5</v>
      </c>
      <c r="F7" s="69">
        <f>(D7*E7)</f>
        <v>26.175000000000001</v>
      </c>
    </row>
    <row r="8" spans="1:7">
      <c r="A8" s="82" t="s">
        <v>347</v>
      </c>
      <c r="D8" s="51"/>
      <c r="E8" s="51"/>
      <c r="F8" s="69"/>
    </row>
    <row r="9" spans="1:7">
      <c r="A9" s="3" t="s">
        <v>1575</v>
      </c>
      <c r="B9" s="4" t="str">
        <f>VLOOKUP(A9,Insumos,2)</f>
        <v>cuadrilla tipo UOCRA</v>
      </c>
      <c r="C9" s="6" t="str">
        <f>VLOOKUP(A9,Insumos,3)</f>
        <v>h</v>
      </c>
      <c r="D9" s="51">
        <v>0.7</v>
      </c>
      <c r="E9" s="51">
        <f>VLOOKUP(A9,'IN-10-14'!A10:D884,4)</f>
        <v>64.12</v>
      </c>
      <c r="F9" s="69">
        <f>(D9*E9)</f>
        <v>44.884</v>
      </c>
    </row>
    <row r="10" spans="1:7">
      <c r="A10" s="82" t="s">
        <v>348</v>
      </c>
      <c r="D10" s="51"/>
      <c r="E10" s="51"/>
      <c r="F10" s="69"/>
    </row>
    <row r="11" spans="1:7">
      <c r="A11" s="3" t="s">
        <v>1581</v>
      </c>
      <c r="B11" s="4" t="str">
        <f>VLOOKUP(A11,Insumos,2)</f>
        <v>canasta 2 (mixer 5m3)</v>
      </c>
      <c r="C11" s="6" t="str">
        <f>VLOOKUP(A11,Insumos,3)</f>
        <v>h</v>
      </c>
      <c r="D11" s="51">
        <v>4.0000000000000001E-3</v>
      </c>
      <c r="E11" s="51">
        <f>VLOOKUP(A11,'IN-10-14'!A12:D886,4)</f>
        <v>827.71566885125844</v>
      </c>
      <c r="F11" s="69">
        <f>(D11*E11)</f>
        <v>3.3108626754050339</v>
      </c>
    </row>
    <row r="12" spans="1:7" ht="13.5" thickBot="1">
      <c r="D12" s="51"/>
      <c r="E12" s="51"/>
      <c r="F12" s="69"/>
    </row>
    <row r="13" spans="1:7" ht="13.5" thickTop="1">
      <c r="A13" s="75" t="s">
        <v>342</v>
      </c>
      <c r="B13" s="218" t="s">
        <v>1630</v>
      </c>
      <c r="C13" s="77" t="str">
        <f>Fecha</f>
        <v>Oct-14</v>
      </c>
      <c r="D13" s="48"/>
      <c r="E13" s="48"/>
      <c r="F13" s="219">
        <f>SUM(F15:F22)</f>
        <v>44.539576428041386</v>
      </c>
      <c r="G13" s="41"/>
    </row>
    <row r="14" spans="1:7" ht="13.5" thickBot="1">
      <c r="A14" s="7" t="s">
        <v>341</v>
      </c>
      <c r="B14" s="7" t="s">
        <v>1629</v>
      </c>
      <c r="C14" s="78" t="s">
        <v>340</v>
      </c>
      <c r="D14" s="49" t="s">
        <v>324</v>
      </c>
      <c r="E14" s="50"/>
      <c r="F14" s="68"/>
      <c r="G14" s="42" t="s">
        <v>1876</v>
      </c>
    </row>
    <row r="15" spans="1:7" ht="13.5" thickTop="1">
      <c r="A15" s="82" t="s">
        <v>346</v>
      </c>
      <c r="D15" s="51"/>
      <c r="E15" s="51"/>
      <c r="F15" s="69"/>
    </row>
    <row r="16" spans="1:7">
      <c r="A16" s="3" t="s">
        <v>1585</v>
      </c>
      <c r="B16" s="4" t="str">
        <f>VLOOKUP(A16,Insumos,2)</f>
        <v>cal hidratada en bolsa</v>
      </c>
      <c r="C16" s="6" t="str">
        <f>VLOOKUP(A16,Insumos,3)</f>
        <v>kg</v>
      </c>
      <c r="D16" s="51">
        <v>3.5</v>
      </c>
      <c r="E16" s="51">
        <f>VLOOKUP(A16,'IN-10-14'!A17:D891,4)</f>
        <v>1.9256198347107438</v>
      </c>
      <c r="F16" s="69">
        <f>(D16*E16)</f>
        <v>6.7396694214876032</v>
      </c>
    </row>
    <row r="17" spans="1:7">
      <c r="A17" s="3" t="s">
        <v>1578</v>
      </c>
      <c r="B17" s="4" t="str">
        <f>VLOOKUP(A17,Insumos,2)</f>
        <v>cemento Portland</v>
      </c>
      <c r="C17" s="6" t="str">
        <f>VLOOKUP(A17,Insumos,3)</f>
        <v>kg</v>
      </c>
      <c r="D17" s="51">
        <v>2.0499999999999998</v>
      </c>
      <c r="E17" s="51">
        <f>VLOOKUP(A17,'IN-10-14'!A18:D892,4)</f>
        <v>1.7372000000000001</v>
      </c>
      <c r="F17" s="69">
        <f>(D17*E17)</f>
        <v>3.5612599999999999</v>
      </c>
    </row>
    <row r="18" spans="1:7">
      <c r="A18" s="3" t="s">
        <v>1590</v>
      </c>
      <c r="B18" s="4" t="str">
        <f>VLOOKUP(A18,Insumos,2)</f>
        <v>ripiosa</v>
      </c>
      <c r="C18" s="6" t="str">
        <f>VLOOKUP(A18,Insumos,3)</f>
        <v>m3</v>
      </c>
      <c r="D18" s="51">
        <v>3.5000000000000003E-2</v>
      </c>
      <c r="E18" s="51">
        <f>VLOOKUP(A18,'IN-10-14'!A19:D893,4)</f>
        <v>174.5</v>
      </c>
      <c r="F18" s="69">
        <f>(D18*E18)</f>
        <v>6.1075000000000008</v>
      </c>
    </row>
    <row r="19" spans="1:7">
      <c r="A19" s="82" t="s">
        <v>347</v>
      </c>
      <c r="D19" s="51"/>
      <c r="E19" s="51"/>
      <c r="F19" s="69"/>
    </row>
    <row r="20" spans="1:7">
      <c r="A20" s="3" t="s">
        <v>1575</v>
      </c>
      <c r="B20" s="4" t="str">
        <f>VLOOKUP(A20,Insumos,2)</f>
        <v>cuadrilla tipo UOCRA</v>
      </c>
      <c r="C20" s="6" t="str">
        <f>VLOOKUP(A20,Insumos,3)</f>
        <v>h</v>
      </c>
      <c r="D20" s="51">
        <v>0.4</v>
      </c>
      <c r="E20" s="51">
        <f>VLOOKUP(A20,'IN-10-14'!A21:D895,4)</f>
        <v>64.12</v>
      </c>
      <c r="F20" s="69">
        <f>(D20*E20)</f>
        <v>25.648000000000003</v>
      </c>
    </row>
    <row r="21" spans="1:7">
      <c r="A21" s="82" t="s">
        <v>348</v>
      </c>
      <c r="D21" s="51"/>
      <c r="E21" s="51"/>
      <c r="F21" s="69"/>
    </row>
    <row r="22" spans="1:7">
      <c r="A22" s="3" t="s">
        <v>1581</v>
      </c>
      <c r="B22" s="4" t="str">
        <f>VLOOKUP(A22,Insumos,2)</f>
        <v>canasta 2 (mixer 5m3)</v>
      </c>
      <c r="C22" s="6" t="str">
        <f>VLOOKUP(A22,Insumos,3)</f>
        <v>h</v>
      </c>
      <c r="D22" s="51">
        <v>3.0000000000000001E-3</v>
      </c>
      <c r="E22" s="51">
        <f>VLOOKUP(A22,'IN-10-14'!A23:D897,4)</f>
        <v>827.71566885125844</v>
      </c>
      <c r="F22" s="69">
        <f>(D22*E22)</f>
        <v>2.4831470065537755</v>
      </c>
    </row>
    <row r="23" spans="1:7" ht="13.5" thickBot="1">
      <c r="A23" s="3"/>
      <c r="B23" s="4"/>
      <c r="C23" s="6"/>
      <c r="D23" s="51"/>
      <c r="E23" s="51"/>
      <c r="F23" s="69"/>
    </row>
    <row r="24" spans="1:7" ht="13.5" thickTop="1">
      <c r="A24" s="75" t="s">
        <v>342</v>
      </c>
      <c r="B24" s="218" t="s">
        <v>1631</v>
      </c>
      <c r="C24" s="77" t="str">
        <f>Fecha</f>
        <v>Oct-14</v>
      </c>
      <c r="D24" s="48"/>
      <c r="E24" s="48"/>
      <c r="F24" s="219">
        <f>SUM(F26:F34)</f>
        <v>320.96847076902736</v>
      </c>
      <c r="G24" s="41"/>
    </row>
    <row r="25" spans="1:7" ht="13.5" thickBot="1">
      <c r="A25" s="7" t="s">
        <v>341</v>
      </c>
      <c r="B25" s="7" t="s">
        <v>1629</v>
      </c>
      <c r="C25" s="78" t="s">
        <v>340</v>
      </c>
      <c r="D25" s="49" t="s">
        <v>1821</v>
      </c>
      <c r="E25" s="50"/>
      <c r="F25" s="68"/>
      <c r="G25" s="42" t="s">
        <v>1876</v>
      </c>
    </row>
    <row r="26" spans="1:7" ht="13.5" thickTop="1">
      <c r="A26" s="82" t="s">
        <v>346</v>
      </c>
      <c r="D26" s="51"/>
      <c r="E26" s="51"/>
      <c r="F26" s="69"/>
    </row>
    <row r="27" spans="1:7">
      <c r="A27" s="3" t="s">
        <v>1585</v>
      </c>
      <c r="B27" s="4" t="str">
        <f>VLOOKUP(A27,Insumos,2)</f>
        <v>cal hidratada en bolsa</v>
      </c>
      <c r="C27" s="6" t="str">
        <f>VLOOKUP(A27,Insumos,3)</f>
        <v>kg</v>
      </c>
      <c r="D27" s="51">
        <v>5</v>
      </c>
      <c r="E27" s="51">
        <f>VLOOKUP(A27,'IN-10-14'!A28:D902,4)</f>
        <v>1.9256198347107438</v>
      </c>
      <c r="F27" s="69">
        <f>(D27*E27)</f>
        <v>9.6280991735537196</v>
      </c>
    </row>
    <row r="28" spans="1:7">
      <c r="A28" s="3" t="s">
        <v>1578</v>
      </c>
      <c r="B28" s="4" t="str">
        <f>VLOOKUP(A28,Insumos,2)</f>
        <v>cemento Portland</v>
      </c>
      <c r="C28" s="6" t="str">
        <f>VLOOKUP(A28,Insumos,3)</f>
        <v>kg</v>
      </c>
      <c r="D28" s="51">
        <v>5.84</v>
      </c>
      <c r="E28" s="51">
        <f>VLOOKUP(A28,'IN-10-14'!A29:D903,4)</f>
        <v>1.7372000000000001</v>
      </c>
      <c r="F28" s="69">
        <f>(D28*E28)</f>
        <v>10.145248</v>
      </c>
    </row>
    <row r="29" spans="1:7">
      <c r="A29" s="3" t="s">
        <v>1580</v>
      </c>
      <c r="B29" s="4" t="str">
        <f>VLOOKUP(A29,Insumos,2)</f>
        <v>arena gruesa</v>
      </c>
      <c r="C29" s="6" t="str">
        <f>VLOOKUP(A29,Insumos,3)</f>
        <v>m3</v>
      </c>
      <c r="D29" s="51">
        <v>0.03</v>
      </c>
      <c r="E29" s="51">
        <f>VLOOKUP(A29,'IN-10-14'!A30:D904,4)</f>
        <v>184.46464646464645</v>
      </c>
      <c r="F29" s="69">
        <f>(D29*E29)</f>
        <v>5.5339393939393933</v>
      </c>
    </row>
    <row r="30" spans="1:7">
      <c r="A30" s="3" t="s">
        <v>1822</v>
      </c>
      <c r="B30" s="4" t="str">
        <f>VLOOKUP(A30,'IN-10-14'!$A$5:$D$441,2)</f>
        <v>mosaico granítico 30x30</v>
      </c>
      <c r="C30" s="4" t="str">
        <f>VLOOKUP(A30,'IN-10-14'!$A$5:$D$441,3)</f>
        <v>m2</v>
      </c>
      <c r="D30" s="51">
        <v>1.26</v>
      </c>
      <c r="E30" s="51">
        <f>VLOOKUP(A30,'IN-10-14'!A31:D905,4)</f>
        <v>95.867768595041326</v>
      </c>
      <c r="F30" s="69">
        <f>(D30*E30)</f>
        <v>120.79338842975207</v>
      </c>
    </row>
    <row r="31" spans="1:7">
      <c r="A31" s="82" t="s">
        <v>347</v>
      </c>
      <c r="D31" s="51"/>
      <c r="E31" s="51"/>
      <c r="F31" s="69"/>
    </row>
    <row r="32" spans="1:7">
      <c r="A32" s="3" t="s">
        <v>1575</v>
      </c>
      <c r="B32" s="4" t="str">
        <f>VLOOKUP(A32,Insumos,2)</f>
        <v>cuadrilla tipo UOCRA</v>
      </c>
      <c r="C32" s="6" t="str">
        <f>VLOOKUP(A32,Insumos,3)</f>
        <v>h</v>
      </c>
      <c r="D32" s="51">
        <v>2.5</v>
      </c>
      <c r="E32" s="51">
        <f>VLOOKUP(A32,'IN-10-14'!A33:D907,4)</f>
        <v>64.12</v>
      </c>
      <c r="F32" s="69">
        <f>(D32*E32)</f>
        <v>160.30000000000001</v>
      </c>
    </row>
    <row r="33" spans="1:7">
      <c r="A33" s="82" t="s">
        <v>348</v>
      </c>
      <c r="D33" s="51"/>
      <c r="E33" s="51"/>
      <c r="F33" s="69"/>
    </row>
    <row r="34" spans="1:7">
      <c r="A34" s="3" t="s">
        <v>1581</v>
      </c>
      <c r="B34" s="4" t="str">
        <f>VLOOKUP(A34,Insumos,2)</f>
        <v>canasta 2 (mixer 5m3)</v>
      </c>
      <c r="C34" s="6" t="str">
        <f>VLOOKUP(A34,Insumos,3)</f>
        <v>h</v>
      </c>
      <c r="D34" s="51">
        <v>1.7600000000000001E-2</v>
      </c>
      <c r="E34" s="51">
        <f>VLOOKUP(A34,'IN-10-14'!A35:D909,4)</f>
        <v>827.71566885125844</v>
      </c>
      <c r="F34" s="69">
        <f>(D34*E34)</f>
        <v>14.56779577178215</v>
      </c>
    </row>
    <row r="35" spans="1:7" ht="13.5" thickBot="1">
      <c r="D35" s="51"/>
      <c r="E35" s="51"/>
      <c r="F35" s="69"/>
    </row>
    <row r="36" spans="1:7" ht="13.5" thickTop="1">
      <c r="A36" s="75" t="s">
        <v>342</v>
      </c>
      <c r="B36" s="218" t="s">
        <v>1632</v>
      </c>
      <c r="C36" s="77" t="str">
        <f>Fecha</f>
        <v>Oct-14</v>
      </c>
      <c r="D36" s="48"/>
      <c r="E36" s="48"/>
      <c r="F36" s="219">
        <f>SUM(F38:F46)</f>
        <v>228.18069754413239</v>
      </c>
      <c r="G36" s="41"/>
    </row>
    <row r="37" spans="1:7" ht="13.5" thickBot="1">
      <c r="A37" s="7" t="s">
        <v>341</v>
      </c>
      <c r="B37" s="7" t="s">
        <v>1629</v>
      </c>
      <c r="C37" s="78" t="s">
        <v>340</v>
      </c>
      <c r="D37" s="49" t="s">
        <v>1678</v>
      </c>
      <c r="E37" s="50"/>
      <c r="F37" s="68"/>
      <c r="G37" s="42" t="s">
        <v>1876</v>
      </c>
    </row>
    <row r="38" spans="1:7" ht="13.5" thickTop="1">
      <c r="A38" s="82" t="s">
        <v>346</v>
      </c>
      <c r="D38" s="51"/>
      <c r="E38" s="51"/>
      <c r="F38" s="69"/>
    </row>
    <row r="39" spans="1:7">
      <c r="A39" s="3" t="s">
        <v>1585</v>
      </c>
      <c r="B39" s="4" t="str">
        <f>VLOOKUP(A39,Insumos,2)</f>
        <v>cal hidratada en bolsa</v>
      </c>
      <c r="C39" s="6" t="str">
        <f>VLOOKUP(A39,Insumos,3)</f>
        <v>kg</v>
      </c>
      <c r="D39" s="51">
        <v>5</v>
      </c>
      <c r="E39" s="51">
        <f>VLOOKUP(A39,'IN-10-14'!A40:D914,4)</f>
        <v>1.9256198347107438</v>
      </c>
      <c r="F39" s="69">
        <f>(D39*E39)</f>
        <v>9.6280991735537196</v>
      </c>
    </row>
    <row r="40" spans="1:7">
      <c r="A40" s="3" t="s">
        <v>1578</v>
      </c>
      <c r="B40" s="4" t="str">
        <f>VLOOKUP(A40,Insumos,2)</f>
        <v>cemento Portland</v>
      </c>
      <c r="C40" s="6" t="str">
        <f>VLOOKUP(A40,Insumos,3)</f>
        <v>kg</v>
      </c>
      <c r="D40" s="51">
        <v>5</v>
      </c>
      <c r="E40" s="51">
        <f>VLOOKUP(A40,'IN-10-14'!A41:D915,4)</f>
        <v>1.7372000000000001</v>
      </c>
      <c r="F40" s="69">
        <f>(D40*E40)</f>
        <v>8.6859999999999999</v>
      </c>
    </row>
    <row r="41" spans="1:7">
      <c r="A41" s="3" t="s">
        <v>1580</v>
      </c>
      <c r="B41" s="4" t="str">
        <f>VLOOKUP(A41,Insumos,2)</f>
        <v>arena gruesa</v>
      </c>
      <c r="C41" s="6" t="str">
        <f>VLOOKUP(A41,Insumos,3)</f>
        <v>m3</v>
      </c>
      <c r="D41" s="51">
        <v>0.03</v>
      </c>
      <c r="E41" s="51">
        <f>VLOOKUP(A41,'IN-10-14'!A42:D916,4)</f>
        <v>184.46464646464645</v>
      </c>
      <c r="F41" s="69">
        <f>(D41*E41)</f>
        <v>5.5339393939393933</v>
      </c>
    </row>
    <row r="42" spans="1:7">
      <c r="A42" s="3" t="s">
        <v>1591</v>
      </c>
      <c r="B42" s="4" t="str">
        <f>VLOOKUP(A42,'IN-10-14'!$A$5:$D$441,2)</f>
        <v>mosaico calcareo amarillo, rojo o gris</v>
      </c>
      <c r="C42" s="4" t="str">
        <f>VLOOKUP(A42,'IN-10-14'!$A$5:$D$441,3)</f>
        <v>m2</v>
      </c>
      <c r="D42" s="51">
        <v>1.27</v>
      </c>
      <c r="E42" s="51">
        <f>VLOOKUP(A42,'IN-10-14'!A43:D917,4)</f>
        <v>66.12</v>
      </c>
      <c r="F42" s="69">
        <f>(D42*E42)</f>
        <v>83.972400000000007</v>
      </c>
    </row>
    <row r="43" spans="1:7">
      <c r="A43" s="82" t="s">
        <v>347</v>
      </c>
      <c r="D43" s="51"/>
      <c r="E43" s="51"/>
      <c r="F43" s="69"/>
    </row>
    <row r="44" spans="1:7">
      <c r="A44" s="3" t="s">
        <v>1575</v>
      </c>
      <c r="B44" s="4" t="str">
        <f>VLOOKUP(A44,Insumos,2)</f>
        <v>cuadrilla tipo UOCRA</v>
      </c>
      <c r="C44" s="6" t="str">
        <f>VLOOKUP(A44,Insumos,3)</f>
        <v>h</v>
      </c>
      <c r="D44" s="51">
        <v>1.7</v>
      </c>
      <c r="E44" s="51">
        <f>VLOOKUP(A44,'IN-10-14'!A45:D919,4)</f>
        <v>64.12</v>
      </c>
      <c r="F44" s="69">
        <f>(D44*E44)</f>
        <v>109.004</v>
      </c>
    </row>
    <row r="45" spans="1:7">
      <c r="A45" s="82" t="s">
        <v>348</v>
      </c>
      <c r="D45" s="51"/>
      <c r="E45" s="51"/>
      <c r="F45" s="69"/>
    </row>
    <row r="46" spans="1:7">
      <c r="A46" s="3" t="s">
        <v>1581</v>
      </c>
      <c r="B46" s="4" t="str">
        <f>VLOOKUP(A46,Insumos,2)</f>
        <v>canasta 2 (mixer 5m3)</v>
      </c>
      <c r="C46" s="6" t="str">
        <f>VLOOKUP(A46,Insumos,3)</f>
        <v>h</v>
      </c>
      <c r="D46" s="51">
        <v>1.372E-2</v>
      </c>
      <c r="E46" s="51">
        <f>VLOOKUP(A46,'IN-10-14'!A47:D921,4)</f>
        <v>827.71566885125844</v>
      </c>
      <c r="F46" s="69">
        <f>(D46*E46)</f>
        <v>11.356258976639266</v>
      </c>
    </row>
    <row r="47" spans="1:7" ht="13.5" thickBot="1">
      <c r="D47" s="51"/>
      <c r="E47" s="51"/>
      <c r="F47" s="69"/>
    </row>
    <row r="48" spans="1:7" ht="13.5" thickTop="1">
      <c r="A48" s="75" t="s">
        <v>342</v>
      </c>
      <c r="B48" s="218" t="s">
        <v>1633</v>
      </c>
      <c r="C48" s="77" t="str">
        <f>Fecha</f>
        <v>Oct-14</v>
      </c>
      <c r="D48" s="48"/>
      <c r="E48" s="48"/>
      <c r="F48" s="219">
        <f>SUM(F50:F57)</f>
        <v>150.27963894159655</v>
      </c>
      <c r="G48" s="41"/>
    </row>
    <row r="49" spans="1:7" ht="13.5" thickBot="1">
      <c r="A49" s="7" t="s">
        <v>341</v>
      </c>
      <c r="B49" s="7" t="s">
        <v>1629</v>
      </c>
      <c r="C49" s="78" t="s">
        <v>340</v>
      </c>
      <c r="D49" s="49" t="s">
        <v>17</v>
      </c>
      <c r="E49" s="50"/>
      <c r="F49" s="68"/>
      <c r="G49" s="42" t="s">
        <v>1876</v>
      </c>
    </row>
    <row r="50" spans="1:7" ht="13.5" thickTop="1">
      <c r="A50" s="82" t="s">
        <v>346</v>
      </c>
      <c r="D50" s="51"/>
      <c r="E50" s="51"/>
      <c r="F50" s="69"/>
    </row>
    <row r="51" spans="1:7">
      <c r="A51" s="3" t="s">
        <v>1592</v>
      </c>
      <c r="B51" s="4" t="str">
        <f>VLOOKUP(A51,Insumos,2)</f>
        <v>adhesivo p/piso cerámico</v>
      </c>
      <c r="C51" s="6" t="str">
        <f>VLOOKUP(A51,Insumos,3)</f>
        <v>kg</v>
      </c>
      <c r="D51" s="51">
        <v>3.5</v>
      </c>
      <c r="E51" s="51">
        <f>VLOOKUP(A51,'IN-10-14'!A52:D926,4)</f>
        <v>2.36</v>
      </c>
      <c r="F51" s="69">
        <f>(D51*E51)</f>
        <v>8.26</v>
      </c>
    </row>
    <row r="52" spans="1:7">
      <c r="A52" s="3" t="s">
        <v>1707</v>
      </c>
      <c r="B52" s="4" t="str">
        <f>VLOOKUP(A52,Insumos,2)</f>
        <v>cemento blanco</v>
      </c>
      <c r="C52" s="6" t="str">
        <f>VLOOKUP(A52,Insumos,3)</f>
        <v>bolsa</v>
      </c>
      <c r="D52" s="51">
        <v>0.01</v>
      </c>
      <c r="E52" s="51">
        <f>VLOOKUP(A52,'IN-10-14'!A53:D927,4)</f>
        <v>82.651835000000005</v>
      </c>
      <c r="F52" s="69">
        <f>(D52*E52)</f>
        <v>0.82651835000000007</v>
      </c>
    </row>
    <row r="53" spans="1:7">
      <c r="A53" s="229" t="s">
        <v>1013</v>
      </c>
      <c r="B53" s="4" t="str">
        <f>VLOOKUP(A53,'IN-10-14'!$A$5:$D$441,2)</f>
        <v>cerámico esmaltado 20x20</v>
      </c>
      <c r="C53" s="4" t="str">
        <f>VLOOKUP(A53,'IN-10-14'!$A$5:$D$441,3)</f>
        <v>m2</v>
      </c>
      <c r="D53" s="51">
        <v>1.1200000000000001</v>
      </c>
      <c r="E53" s="51">
        <f>VLOOKUP(A53,'IN-10-14'!A54:D928,4)</f>
        <v>62.636980000000008</v>
      </c>
      <c r="F53" s="69">
        <f>(D53*E53)</f>
        <v>70.153417600000012</v>
      </c>
    </row>
    <row r="54" spans="1:7">
      <c r="A54" s="82" t="s">
        <v>347</v>
      </c>
      <c r="D54" s="51"/>
      <c r="E54" s="51"/>
      <c r="F54" s="69"/>
    </row>
    <row r="55" spans="1:7">
      <c r="A55" s="3" t="s">
        <v>1575</v>
      </c>
      <c r="B55" s="4" t="str">
        <f>VLOOKUP(A55,Insumos,2)</f>
        <v>cuadrilla tipo UOCRA</v>
      </c>
      <c r="C55" s="6" t="str">
        <f>VLOOKUP(A55,Insumos,3)</f>
        <v>h</v>
      </c>
      <c r="D55" s="51">
        <v>1</v>
      </c>
      <c r="E55" s="51">
        <f>VLOOKUP(A55,'IN-10-14'!A56:D930,4)</f>
        <v>64.12</v>
      </c>
      <c r="F55" s="69">
        <f>(D55*E55)</f>
        <v>64.12</v>
      </c>
    </row>
    <row r="56" spans="1:7">
      <c r="A56" s="82" t="s">
        <v>348</v>
      </c>
      <c r="D56" s="51"/>
      <c r="E56" s="51"/>
      <c r="F56" s="69"/>
    </row>
    <row r="57" spans="1:7">
      <c r="A57" s="3" t="s">
        <v>1581</v>
      </c>
      <c r="B57" s="4" t="str">
        <f>VLOOKUP(A57,Insumos,2)</f>
        <v>canasta 2 (mixer 5m3)</v>
      </c>
      <c r="C57" s="6" t="str">
        <f>VLOOKUP(A57,Insumos,3)</f>
        <v>h</v>
      </c>
      <c r="D57" s="51">
        <v>8.3599999999999994E-3</v>
      </c>
      <c r="E57" s="51">
        <f>VLOOKUP(A57,'IN-10-14'!A58:D932,4)</f>
        <v>827.71566885125844</v>
      </c>
      <c r="F57" s="69">
        <f>(D57*E57)</f>
        <v>6.9197029915965205</v>
      </c>
    </row>
    <row r="58" spans="1:7" ht="13.5" thickBot="1">
      <c r="D58" s="51"/>
      <c r="E58" s="51"/>
      <c r="F58" s="69"/>
    </row>
    <row r="59" spans="1:7" ht="13.5" thickTop="1">
      <c r="A59" s="75" t="s">
        <v>342</v>
      </c>
      <c r="B59" s="218" t="s">
        <v>18</v>
      </c>
      <c r="C59" s="77" t="str">
        <f>Fecha</f>
        <v>Oct-14</v>
      </c>
      <c r="D59" s="48"/>
      <c r="E59" s="48"/>
      <c r="F59" s="219">
        <f>SUM(F61:F70)</f>
        <v>199.12376841934443</v>
      </c>
      <c r="G59" s="41"/>
    </row>
    <row r="60" spans="1:7" ht="13.5" thickBot="1">
      <c r="A60" s="7" t="s">
        <v>341</v>
      </c>
      <c r="B60" s="7" t="s">
        <v>1629</v>
      </c>
      <c r="C60" s="78" t="s">
        <v>340</v>
      </c>
      <c r="D60" s="49" t="s">
        <v>1679</v>
      </c>
      <c r="E60" s="50"/>
      <c r="F60" s="68"/>
      <c r="G60" s="42" t="s">
        <v>1876</v>
      </c>
    </row>
    <row r="61" spans="1:7" ht="13.5" thickTop="1">
      <c r="A61" s="82" t="s">
        <v>346</v>
      </c>
      <c r="D61" s="51"/>
      <c r="E61" s="51"/>
      <c r="F61" s="69"/>
    </row>
    <row r="62" spans="1:7">
      <c r="A62" s="3" t="s">
        <v>1592</v>
      </c>
      <c r="B62" s="4" t="str">
        <f>VLOOKUP(A62,Insumos,2)</f>
        <v>adhesivo p/piso cerámico</v>
      </c>
      <c r="C62" s="6" t="str">
        <f>VLOOKUP(A62,Insumos,3)</f>
        <v>kg</v>
      </c>
      <c r="D62" s="51">
        <v>3.5</v>
      </c>
      <c r="E62" s="51">
        <f>VLOOKUP(A62,'IN-10-14'!A63:D937,4)</f>
        <v>2.36</v>
      </c>
      <c r="F62" s="69">
        <f>(D62*E62)</f>
        <v>8.26</v>
      </c>
    </row>
    <row r="63" spans="1:7">
      <c r="A63" s="3" t="s">
        <v>1578</v>
      </c>
      <c r="B63" s="4" t="str">
        <f>VLOOKUP(A63,Insumos,2)</f>
        <v>cemento Portland</v>
      </c>
      <c r="C63" s="6" t="str">
        <f>VLOOKUP(A63,Insumos,3)</f>
        <v>kg</v>
      </c>
      <c r="D63" s="51">
        <v>15</v>
      </c>
      <c r="E63" s="51">
        <f>VLOOKUP(A63,'IN-10-14'!A64:D938,4)</f>
        <v>1.7372000000000001</v>
      </c>
      <c r="F63" s="69">
        <f>(D63*E63)</f>
        <v>26.058</v>
      </c>
    </row>
    <row r="64" spans="1:7">
      <c r="A64" s="3" t="s">
        <v>1707</v>
      </c>
      <c r="B64" s="4" t="str">
        <f>VLOOKUP(A64,Insumos,2)</f>
        <v>cemento blanco</v>
      </c>
      <c r="C64" s="6" t="str">
        <f>VLOOKUP(A64,Insumos,3)</f>
        <v>bolsa</v>
      </c>
      <c r="D64" s="51">
        <v>0.01</v>
      </c>
      <c r="E64" s="51">
        <f>VLOOKUP(A64,'IN-10-14'!A65:D939,4)</f>
        <v>82.651835000000005</v>
      </c>
      <c r="F64" s="69">
        <f>(D64*E64)</f>
        <v>0.82651835000000007</v>
      </c>
    </row>
    <row r="65" spans="1:7">
      <c r="A65" s="3" t="s">
        <v>1580</v>
      </c>
      <c r="B65" s="4" t="str">
        <f>VLOOKUP(A65,Insumos,2)</f>
        <v>arena gruesa</v>
      </c>
      <c r="C65" s="6" t="str">
        <f>VLOOKUP(A65,Insumos,3)</f>
        <v>m3</v>
      </c>
      <c r="D65" s="51">
        <v>0.03</v>
      </c>
      <c r="E65" s="51">
        <f>VLOOKUP(A65,'IN-10-14'!A42:D940,4)</f>
        <v>184.46464646464645</v>
      </c>
      <c r="F65" s="69">
        <f>(D65*E65)</f>
        <v>5.5339393939393933</v>
      </c>
    </row>
    <row r="66" spans="1:7">
      <c r="A66" s="3" t="s">
        <v>1315</v>
      </c>
      <c r="B66" s="4" t="str">
        <f>VLOOKUP(A66,'IN-10-14'!$A$5:$D$441,2)</f>
        <v>baldosa cerámica roja 6 x 24</v>
      </c>
      <c r="C66" s="4" t="str">
        <f>VLOOKUP(A66,'IN-10-14'!$A$5:$D$441,3)</f>
        <v>m2</v>
      </c>
      <c r="D66" s="51">
        <v>1.1200000000000001</v>
      </c>
      <c r="E66" s="51">
        <f>VLOOKUP(A66,'IN-10-14'!A67:D941,4)</f>
        <v>35.462899999999998</v>
      </c>
      <c r="F66" s="69">
        <f>(D66*E66)</f>
        <v>39.718448000000002</v>
      </c>
    </row>
    <row r="67" spans="1:7">
      <c r="A67" s="82" t="s">
        <v>347</v>
      </c>
      <c r="D67" s="51"/>
      <c r="E67" s="51"/>
      <c r="F67" s="69"/>
    </row>
    <row r="68" spans="1:7">
      <c r="A68" s="3" t="s">
        <v>1575</v>
      </c>
      <c r="B68" s="4" t="str">
        <f>VLOOKUP(A68,Insumos,2)</f>
        <v>cuadrilla tipo UOCRA</v>
      </c>
      <c r="C68" s="6" t="str">
        <f>VLOOKUP(A68,Insumos,3)</f>
        <v>h</v>
      </c>
      <c r="D68" s="51">
        <v>1.8</v>
      </c>
      <c r="E68" s="51">
        <f>VLOOKUP(A68,'IN-10-14'!A69:D943,4)</f>
        <v>64.12</v>
      </c>
      <c r="F68" s="69">
        <f>(D68*E68)</f>
        <v>115.41600000000001</v>
      </c>
    </row>
    <row r="69" spans="1:7">
      <c r="A69" s="82" t="s">
        <v>348</v>
      </c>
      <c r="D69" s="51"/>
      <c r="E69" s="51"/>
      <c r="F69" s="69"/>
    </row>
    <row r="70" spans="1:7">
      <c r="A70" s="3" t="s">
        <v>1581</v>
      </c>
      <c r="B70" s="4" t="str">
        <f>VLOOKUP(A70,Insumos,2)</f>
        <v>canasta 2 (mixer 5m3)</v>
      </c>
      <c r="C70" s="6" t="str">
        <f>VLOOKUP(A70,Insumos,3)</f>
        <v>h</v>
      </c>
      <c r="D70" s="51">
        <v>4.0000000000000001E-3</v>
      </c>
      <c r="E70" s="51">
        <f>VLOOKUP(A70,'IN-10-14'!A71:D945,4)</f>
        <v>827.71566885125844</v>
      </c>
      <c r="F70" s="69">
        <f>(D70*E70)</f>
        <v>3.3108626754050339</v>
      </c>
    </row>
    <row r="71" spans="1:7" ht="13.5" thickBot="1">
      <c r="D71" s="51"/>
      <c r="E71" s="51"/>
      <c r="F71" s="69"/>
    </row>
    <row r="72" spans="1:7" ht="13.5" thickTop="1">
      <c r="A72" s="75" t="s">
        <v>342</v>
      </c>
      <c r="B72" s="218" t="s">
        <v>1634</v>
      </c>
      <c r="C72" s="77" t="str">
        <f>Fecha</f>
        <v>Oct-14</v>
      </c>
      <c r="D72" s="48"/>
      <c r="E72" s="48"/>
      <c r="F72" s="219">
        <f>SUM(F74:F80)</f>
        <v>112.55036038786801</v>
      </c>
      <c r="G72" s="41"/>
    </row>
    <row r="73" spans="1:7" ht="13.5" thickBot="1">
      <c r="A73" s="7" t="s">
        <v>341</v>
      </c>
      <c r="B73" s="7" t="s">
        <v>1629</v>
      </c>
      <c r="C73" s="78" t="s">
        <v>340</v>
      </c>
      <c r="D73" s="49" t="s">
        <v>1680</v>
      </c>
      <c r="E73" s="50"/>
      <c r="F73" s="68"/>
      <c r="G73" s="42" t="s">
        <v>1876</v>
      </c>
    </row>
    <row r="74" spans="1:7" ht="13.5" thickTop="1">
      <c r="A74" s="82" t="s">
        <v>346</v>
      </c>
      <c r="D74" s="51"/>
      <c r="E74" s="51"/>
      <c r="F74" s="69"/>
    </row>
    <row r="75" spans="1:7">
      <c r="A75" s="3" t="s">
        <v>1578</v>
      </c>
      <c r="B75" s="4" t="str">
        <f>VLOOKUP(A75,Insumos,2)</f>
        <v>cemento Portland</v>
      </c>
      <c r="C75" s="6" t="str">
        <f>VLOOKUP(A75,Insumos,3)</f>
        <v>kg</v>
      </c>
      <c r="D75" s="51">
        <v>15</v>
      </c>
      <c r="E75" s="51">
        <f>VLOOKUP(A75,'IN-10-14'!A76:D950,4)</f>
        <v>1.7372000000000001</v>
      </c>
      <c r="F75" s="69">
        <f>(D75*E75)</f>
        <v>26.058</v>
      </c>
    </row>
    <row r="76" spans="1:7">
      <c r="A76" s="3" t="s">
        <v>1580</v>
      </c>
      <c r="B76" s="4" t="str">
        <f>VLOOKUP(A76,Insumos,2)</f>
        <v>arena gruesa</v>
      </c>
      <c r="C76" s="6" t="str">
        <f>VLOOKUP(A76,Insumos,3)</f>
        <v>m3</v>
      </c>
      <c r="D76" s="51">
        <v>0.03</v>
      </c>
      <c r="E76" s="51">
        <f>VLOOKUP(A76,'IN-10-14'!A42:D951,4)</f>
        <v>184.46464646464645</v>
      </c>
      <c r="F76" s="69">
        <f>(D76*E76)</f>
        <v>5.5339393939393933</v>
      </c>
    </row>
    <row r="77" spans="1:7">
      <c r="A77" s="82" t="s">
        <v>347</v>
      </c>
      <c r="D77" s="51"/>
      <c r="E77" s="51"/>
      <c r="F77" s="69"/>
    </row>
    <row r="78" spans="1:7">
      <c r="A78" s="3" t="s">
        <v>1575</v>
      </c>
      <c r="B78" s="4" t="str">
        <f>VLOOKUP(A78,Insumos,2)</f>
        <v>cuadrilla tipo UOCRA</v>
      </c>
      <c r="C78" s="6" t="str">
        <f>VLOOKUP(A78,Insumos,3)</f>
        <v>h</v>
      </c>
      <c r="D78" s="51">
        <v>1.2</v>
      </c>
      <c r="E78" s="51">
        <f>VLOOKUP(A78,'IN-10-14'!A79:D953,4)</f>
        <v>64.12</v>
      </c>
      <c r="F78" s="69">
        <f>(D78*E78)</f>
        <v>76.944000000000003</v>
      </c>
    </row>
    <row r="79" spans="1:7">
      <c r="A79" s="82" t="s">
        <v>348</v>
      </c>
      <c r="D79" s="51"/>
      <c r="E79" s="51"/>
      <c r="F79" s="69"/>
    </row>
    <row r="80" spans="1:7">
      <c r="A80" s="3" t="s">
        <v>1581</v>
      </c>
      <c r="B80" s="4" t="str">
        <f>VLOOKUP(A80,Insumos,2)</f>
        <v>canasta 2 (mixer 5m3)</v>
      </c>
      <c r="C80" s="6" t="str">
        <f>VLOOKUP(A80,Insumos,3)</f>
        <v>h</v>
      </c>
      <c r="D80" s="51">
        <v>4.8500000000000001E-3</v>
      </c>
      <c r="E80" s="51">
        <f>VLOOKUP(A80,'IN-10-14'!A81:D955,4)</f>
        <v>827.71566885125844</v>
      </c>
      <c r="F80" s="69">
        <f>(D80*E80)</f>
        <v>4.0144209939286037</v>
      </c>
    </row>
    <row r="81" spans="1:7" ht="13.5" thickBot="1">
      <c r="A81" s="3"/>
      <c r="B81" s="4"/>
      <c r="C81" s="6"/>
      <c r="D81" s="51"/>
      <c r="E81" s="51"/>
      <c r="F81" s="69"/>
    </row>
    <row r="82" spans="1:7" ht="13.5" thickTop="1">
      <c r="A82" s="75" t="s">
        <v>342</v>
      </c>
      <c r="B82" s="218" t="s">
        <v>1823</v>
      </c>
      <c r="C82" s="77" t="str">
        <f>Fecha</f>
        <v>Oct-14</v>
      </c>
      <c r="D82" s="48"/>
      <c r="E82" s="48"/>
      <c r="F82" s="219">
        <f>SUM(F85:F91)</f>
        <v>144.41805834425631</v>
      </c>
      <c r="G82" s="41"/>
    </row>
    <row r="83" spans="1:7" ht="13.5" thickBot="1">
      <c r="A83" s="7" t="s">
        <v>341</v>
      </c>
      <c r="B83" s="7" t="s">
        <v>1629</v>
      </c>
      <c r="C83" s="78" t="s">
        <v>340</v>
      </c>
      <c r="D83" s="49" t="s">
        <v>1824</v>
      </c>
      <c r="E83" s="50"/>
      <c r="F83" s="68"/>
      <c r="G83" s="42" t="s">
        <v>1876</v>
      </c>
    </row>
    <row r="84" spans="1:7" ht="13.5" thickTop="1">
      <c r="D84" s="51"/>
      <c r="E84" s="51"/>
      <c r="F84" s="69"/>
    </row>
    <row r="85" spans="1:7">
      <c r="A85" s="82" t="s">
        <v>346</v>
      </c>
      <c r="D85" s="51"/>
      <c r="E85" s="51"/>
      <c r="F85" s="69"/>
    </row>
    <row r="86" spans="1:7">
      <c r="A86" s="3" t="s">
        <v>1578</v>
      </c>
      <c r="B86" s="4" t="str">
        <f>VLOOKUP(A86,Insumos,2)</f>
        <v>cemento Portland</v>
      </c>
      <c r="C86" s="6" t="str">
        <f>VLOOKUP(A86,Insumos,3)</f>
        <v>kg</v>
      </c>
      <c r="D86" s="51">
        <v>23.4</v>
      </c>
      <c r="E86" s="51">
        <f>VLOOKUP(A86,'IN-10-14'!A87:D961,4)</f>
        <v>1.7372000000000001</v>
      </c>
      <c r="F86" s="69">
        <f>(D86*E86)</f>
        <v>40.650480000000002</v>
      </c>
    </row>
    <row r="87" spans="1:7">
      <c r="A87" s="3" t="s">
        <v>1590</v>
      </c>
      <c r="B87" s="4" t="str">
        <f>VLOOKUP(A87,Insumos,2)</f>
        <v>ripiosa</v>
      </c>
      <c r="C87" s="6" t="str">
        <f>VLOOKUP(A87,Insumos,3)</f>
        <v>m3</v>
      </c>
      <c r="D87" s="51">
        <v>0.13</v>
      </c>
      <c r="E87" s="51">
        <f>VLOOKUP(A87,'IN-10-14'!A45:D962,4)</f>
        <v>174.5</v>
      </c>
      <c r="F87" s="69">
        <f>(D87*E87)</f>
        <v>22.685000000000002</v>
      </c>
    </row>
    <row r="88" spans="1:7">
      <c r="A88" s="82" t="s">
        <v>347</v>
      </c>
      <c r="D88" s="51"/>
      <c r="E88" s="51"/>
      <c r="F88" s="69"/>
    </row>
    <row r="89" spans="1:7">
      <c r="A89" s="3" t="s">
        <v>1575</v>
      </c>
      <c r="B89" s="4" t="str">
        <f>VLOOKUP(A89,Insumos,2)</f>
        <v>cuadrilla tipo UOCRA</v>
      </c>
      <c r="C89" s="6" t="str">
        <f>VLOOKUP(A89,Insumos,3)</f>
        <v>h</v>
      </c>
      <c r="D89" s="51">
        <v>1.2</v>
      </c>
      <c r="E89" s="51">
        <f>VLOOKUP(A89,'IN-10-14'!A90:D964,4)</f>
        <v>64.12</v>
      </c>
      <c r="F89" s="69">
        <f>(D89*E89)</f>
        <v>76.944000000000003</v>
      </c>
    </row>
    <row r="90" spans="1:7">
      <c r="A90" s="82" t="s">
        <v>348</v>
      </c>
      <c r="D90" s="51"/>
      <c r="E90" s="51"/>
      <c r="F90" s="69"/>
    </row>
    <row r="91" spans="1:7">
      <c r="A91" s="3" t="s">
        <v>1581</v>
      </c>
      <c r="B91" s="4" t="str">
        <f>VLOOKUP(A91,Insumos,2)</f>
        <v>canasta 2 (mixer 5m3)</v>
      </c>
      <c r="C91" s="6" t="str">
        <f>VLOOKUP(A91,Insumos,3)</f>
        <v>h</v>
      </c>
      <c r="D91" s="51">
        <v>5.0000000000000001E-3</v>
      </c>
      <c r="E91" s="51">
        <f>VLOOKUP(A91,'IN-10-14'!A92:D966,4)</f>
        <v>827.71566885125844</v>
      </c>
      <c r="F91" s="69">
        <f>(D91*E91)</f>
        <v>4.1385783442562927</v>
      </c>
    </row>
    <row r="92" spans="1:7" ht="13.5" thickBot="1">
      <c r="A92" s="3"/>
      <c r="B92" s="4"/>
      <c r="C92" s="6"/>
      <c r="D92" s="51"/>
      <c r="E92" s="51"/>
      <c r="F92" s="69"/>
    </row>
    <row r="93" spans="1:7" ht="13.5" thickTop="1">
      <c r="A93" s="75" t="s">
        <v>342</v>
      </c>
      <c r="B93" s="218" t="s">
        <v>1825</v>
      </c>
      <c r="C93" s="77" t="str">
        <f>Fecha</f>
        <v>Oct-14</v>
      </c>
      <c r="D93" s="48"/>
      <c r="E93" s="48"/>
      <c r="F93" s="219">
        <f>SUM(F96:F103)</f>
        <v>243.23760267540507</v>
      </c>
      <c r="G93" s="41"/>
    </row>
    <row r="94" spans="1:7" ht="13.5" thickBot="1">
      <c r="A94" s="7" t="s">
        <v>341</v>
      </c>
      <c r="B94" s="7" t="s">
        <v>1629</v>
      </c>
      <c r="C94" s="78" t="s">
        <v>340</v>
      </c>
      <c r="D94" s="49" t="s">
        <v>1839</v>
      </c>
      <c r="E94" s="50"/>
      <c r="F94" s="68"/>
      <c r="G94" s="42" t="s">
        <v>1876</v>
      </c>
    </row>
    <row r="95" spans="1:7" ht="13.5" thickTop="1">
      <c r="D95" s="51"/>
      <c r="E95" s="51"/>
      <c r="F95" s="69"/>
    </row>
    <row r="96" spans="1:7">
      <c r="A96" s="82" t="s">
        <v>346</v>
      </c>
      <c r="D96" s="51"/>
      <c r="E96" s="51"/>
      <c r="F96" s="69"/>
    </row>
    <row r="97" spans="1:6">
      <c r="A97" s="3" t="s">
        <v>1578</v>
      </c>
      <c r="B97" s="4" t="str">
        <f>VLOOKUP(A97,Insumos,2)</f>
        <v>cemento Portland</v>
      </c>
      <c r="C97" s="6" t="str">
        <f>VLOOKUP(A97,Insumos,3)</f>
        <v>kg</v>
      </c>
      <c r="D97" s="51">
        <f>+D98*260</f>
        <v>50.7</v>
      </c>
      <c r="E97" s="51">
        <f>VLOOKUP(A97,'IN-10-14'!A98:D972,4)</f>
        <v>1.7372000000000001</v>
      </c>
      <c r="F97" s="69">
        <f>(D97*E97)</f>
        <v>88.076040000000006</v>
      </c>
    </row>
    <row r="98" spans="1:6">
      <c r="A98" s="3" t="s">
        <v>1590</v>
      </c>
      <c r="B98" s="4" t="str">
        <f>VLOOKUP(A98,Insumos,2)</f>
        <v>ripiosa</v>
      </c>
      <c r="C98" s="6" t="str">
        <f>VLOOKUP(A98,Insumos,3)</f>
        <v>m3</v>
      </c>
      <c r="D98" s="51">
        <v>0.19500000000000001</v>
      </c>
      <c r="E98" s="51">
        <f>VLOOKUP(A98,'IN-10-14'!A45:D973,4)</f>
        <v>174.5</v>
      </c>
      <c r="F98" s="69">
        <f>(D98*E98)</f>
        <v>34.027500000000003</v>
      </c>
    </row>
    <row r="99" spans="1:6">
      <c r="A99" s="3" t="s">
        <v>1582</v>
      </c>
      <c r="B99" s="4" t="str">
        <f>VLOOKUP(A99,Insumos,2)</f>
        <v>malla Sima R92</v>
      </c>
      <c r="C99" s="6" t="str">
        <f>VLOOKUP(A99,Insumos,3)</f>
        <v>kg</v>
      </c>
      <c r="D99" s="51">
        <v>1.2</v>
      </c>
      <c r="E99" s="51">
        <f>VLOOKUP(A99,'IN-10-14'!A9:D974,4)</f>
        <v>18.036000000000001</v>
      </c>
      <c r="F99" s="69">
        <f>(D99*E99)</f>
        <v>21.6432</v>
      </c>
    </row>
    <row r="100" spans="1:6">
      <c r="A100" s="82" t="s">
        <v>347</v>
      </c>
      <c r="D100" s="51"/>
      <c r="E100" s="51"/>
      <c r="F100" s="69"/>
    </row>
    <row r="101" spans="1:6">
      <c r="A101" s="3" t="s">
        <v>1575</v>
      </c>
      <c r="B101" s="4" t="str">
        <f>VLOOKUP(A101,Insumos,2)</f>
        <v>cuadrilla tipo UOCRA</v>
      </c>
      <c r="C101" s="6" t="str">
        <f>VLOOKUP(A101,Insumos,3)</f>
        <v>h</v>
      </c>
      <c r="D101" s="51">
        <v>1.5</v>
      </c>
      <c r="E101" s="51">
        <f>VLOOKUP(A101,'IN-10-14'!A102:D976,4)</f>
        <v>64.12</v>
      </c>
      <c r="F101" s="69">
        <f>(D101*E101)</f>
        <v>96.18</v>
      </c>
    </row>
    <row r="102" spans="1:6">
      <c r="A102" s="82" t="s">
        <v>348</v>
      </c>
      <c r="D102" s="51"/>
      <c r="E102" s="51"/>
      <c r="F102" s="69"/>
    </row>
    <row r="103" spans="1:6">
      <c r="A103" s="3" t="s">
        <v>1581</v>
      </c>
      <c r="B103" s="4" t="str">
        <f>VLOOKUP(A103,Insumos,2)</f>
        <v>canasta 2 (mixer 5m3)</v>
      </c>
      <c r="C103" s="6" t="str">
        <f>VLOOKUP(A103,Insumos,3)</f>
        <v>h</v>
      </c>
      <c r="D103" s="51">
        <v>4.0000000000000001E-3</v>
      </c>
      <c r="E103" s="51">
        <f>VLOOKUP(A103,'IN-10-14'!A104:D978,4)</f>
        <v>827.71566885125844</v>
      </c>
      <c r="F103" s="69">
        <f>(D103*E103)</f>
        <v>3.3108626754050339</v>
      </c>
    </row>
    <row r="104" spans="1:6">
      <c r="D104" s="51"/>
    </row>
  </sheetData>
  <customSheetViews>
    <customSheetView guid="{0D76B64C-AC04-4788-917D-4511FD9E9090}" showPageBreaks="1" showGridLines="0" printArea="1" hiddenColumns="1" showRuler="0">
      <selection activeCell="D2" sqref="D2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 topLeftCell="A82">
      <selection activeCell="E87" sqref="E87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  <cellWatches>
    <cellWatch r="B30"/>
    <cellWatch r="B66"/>
    <cellWatch r="B53"/>
  </cellWatches>
</worksheet>
</file>

<file path=xl/worksheets/sheet11.xml><?xml version="1.0" encoding="utf-8"?>
<worksheet xmlns="http://schemas.openxmlformats.org/spreadsheetml/2006/main" xmlns:r="http://schemas.openxmlformats.org/officeDocument/2006/relationships">
  <sheetPr syncVertical="1" syncRef="A55" transitionEvaluation="1" codeName="Hoja10">
    <tabColor indexed="45"/>
  </sheetPr>
  <dimension ref="A1:G103"/>
  <sheetViews>
    <sheetView showGridLines="0" topLeftCell="A55" zoomScale="90" zoomScaleNormal="75" zoomScaleSheetLayoutView="75" workbookViewId="0">
      <selection activeCell="A69" sqref="A69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>
      <c r="D1" s="51"/>
    </row>
    <row r="2" spans="1:7" ht="13.5" thickTop="1">
      <c r="A2" s="75" t="s">
        <v>342</v>
      </c>
      <c r="B2" s="218" t="s">
        <v>1635</v>
      </c>
      <c r="C2" s="77" t="str">
        <f>Fecha</f>
        <v>Oct-14</v>
      </c>
      <c r="D2" s="48"/>
      <c r="E2" s="48"/>
      <c r="F2" s="219">
        <f>SUM(F4:F14)</f>
        <v>675.73807198245333</v>
      </c>
      <c r="G2" s="41"/>
    </row>
    <row r="3" spans="1:7" ht="13.5" thickBot="1">
      <c r="A3" s="7" t="s">
        <v>341</v>
      </c>
      <c r="B3" s="7" t="s">
        <v>1636</v>
      </c>
      <c r="C3" s="78" t="s">
        <v>340</v>
      </c>
      <c r="D3" s="49" t="s">
        <v>1681</v>
      </c>
      <c r="E3" s="50"/>
      <c r="F3" s="68"/>
      <c r="G3" s="42" t="s">
        <v>1876</v>
      </c>
    </row>
    <row r="4" spans="1:7" ht="13.5" thickTop="1">
      <c r="A4" s="82" t="s">
        <v>346</v>
      </c>
      <c r="D4" s="51"/>
      <c r="E4" s="51"/>
      <c r="F4" s="69"/>
    </row>
    <row r="5" spans="1:7">
      <c r="A5" s="229" t="s">
        <v>502</v>
      </c>
      <c r="B5" s="4" t="str">
        <f t="shared" ref="B5:B10" si="0">VLOOKUP(A5,Insumos,2)</f>
        <v>membrana b/tejas c/aislac. térmica TBA5</v>
      </c>
      <c r="C5" s="6" t="str">
        <f t="shared" ref="C5:C10" si="1">VLOOKUP(A5,Insumos,3)</f>
        <v>m2</v>
      </c>
      <c r="D5" s="51">
        <v>1.1000000000000001</v>
      </c>
      <c r="E5" s="51">
        <f>VLOOKUP(A5,'IN-10-14'!A6:D880,4)</f>
        <v>34.270000000000003</v>
      </c>
      <c r="F5" s="69">
        <f t="shared" ref="F5:F10" si="2">(D5*E5)</f>
        <v>37.69700000000001</v>
      </c>
    </row>
    <row r="6" spans="1:7">
      <c r="A6" s="3" t="s">
        <v>1701</v>
      </c>
      <c r="B6" s="4" t="str">
        <f t="shared" si="0"/>
        <v>clavos P.P. 2"</v>
      </c>
      <c r="C6" s="6" t="str">
        <f t="shared" si="1"/>
        <v>kg</v>
      </c>
      <c r="D6" s="51">
        <v>0.3</v>
      </c>
      <c r="E6" s="51">
        <f>VLOOKUP(A6,'IN-10-14'!A7:D881,4)</f>
        <v>18.0596</v>
      </c>
      <c r="F6" s="69">
        <f t="shared" si="2"/>
        <v>5.4178799999999994</v>
      </c>
    </row>
    <row r="7" spans="1:7">
      <c r="A7" s="3" t="s">
        <v>145</v>
      </c>
      <c r="B7" s="4" t="str">
        <f t="shared" si="0"/>
        <v>madera 1" pino nacional s/cepillar</v>
      </c>
      <c r="C7" s="6" t="str">
        <f t="shared" si="1"/>
        <v>m2</v>
      </c>
      <c r="D7" s="51">
        <v>1.2</v>
      </c>
      <c r="E7" s="51">
        <f>VLOOKUP(A7,'IN-10-14'!A8:D882,4)</f>
        <v>95.177685950413235</v>
      </c>
      <c r="F7" s="69">
        <f t="shared" si="2"/>
        <v>114.21322314049588</v>
      </c>
    </row>
    <row r="8" spans="1:7">
      <c r="A8" s="3" t="s">
        <v>1594</v>
      </c>
      <c r="B8" s="4" t="str">
        <f>VLOOKUP(A8,'IN-10-14'!$A$5:$D$441,2)</f>
        <v>teja francesa</v>
      </c>
      <c r="C8" s="4" t="str">
        <f>VLOOKUP(A8,'IN-10-14'!$A$5:$D$441,3)</f>
        <v>u</v>
      </c>
      <c r="D8" s="51">
        <v>14</v>
      </c>
      <c r="E8" s="51">
        <f>VLOOKUP(A8,'IN-10-14'!A9:D883,4)</f>
        <v>7.92</v>
      </c>
      <c r="F8" s="69">
        <f t="shared" si="2"/>
        <v>110.88</v>
      </c>
    </row>
    <row r="9" spans="1:7">
      <c r="A9" s="3" t="s">
        <v>1699</v>
      </c>
      <c r="B9" s="4" t="str">
        <f t="shared" si="0"/>
        <v>tirante pino 3x6"</v>
      </c>
      <c r="C9" s="6" t="str">
        <f t="shared" si="1"/>
        <v>m</v>
      </c>
      <c r="D9" s="51">
        <v>1.5</v>
      </c>
      <c r="E9" s="51">
        <f>VLOOKUP(A9,'IN-10-14'!A10:D884,4)</f>
        <v>49.66</v>
      </c>
      <c r="F9" s="69">
        <f t="shared" si="2"/>
        <v>74.489999999999995</v>
      </c>
    </row>
    <row r="10" spans="1:7">
      <c r="A10" s="3" t="s">
        <v>1700</v>
      </c>
      <c r="B10" s="4" t="str">
        <f t="shared" si="0"/>
        <v>listones pino 1x2"</v>
      </c>
      <c r="C10" s="6" t="str">
        <f t="shared" si="1"/>
        <v>m</v>
      </c>
      <c r="D10" s="51">
        <v>1.8</v>
      </c>
      <c r="E10" s="51">
        <f>VLOOKUP(A10,'IN-10-14'!A11:D885,4)</f>
        <v>5.3636363636363642</v>
      </c>
      <c r="F10" s="69">
        <f t="shared" si="2"/>
        <v>9.6545454545454561</v>
      </c>
    </row>
    <row r="11" spans="1:7">
      <c r="A11" s="82" t="s">
        <v>347</v>
      </c>
      <c r="D11" s="51"/>
      <c r="E11" s="51"/>
      <c r="F11" s="69"/>
    </row>
    <row r="12" spans="1:7">
      <c r="A12" s="3" t="s">
        <v>1575</v>
      </c>
      <c r="B12" s="4" t="str">
        <f>VLOOKUP(A12,Insumos,2)</f>
        <v>cuadrilla tipo UOCRA</v>
      </c>
      <c r="C12" s="6" t="str">
        <f>VLOOKUP(A12,Insumos,3)</f>
        <v>h</v>
      </c>
      <c r="D12" s="51">
        <v>5</v>
      </c>
      <c r="E12" s="51">
        <f>VLOOKUP(A12,'IN-10-14'!A13:D887,4)</f>
        <v>64.12</v>
      </c>
      <c r="F12" s="69">
        <f>(D12*E12)</f>
        <v>320.60000000000002</v>
      </c>
    </row>
    <row r="13" spans="1:7">
      <c r="A13" s="82" t="s">
        <v>348</v>
      </c>
      <c r="D13" s="51"/>
      <c r="E13" s="51"/>
      <c r="F13" s="69"/>
    </row>
    <row r="14" spans="1:7">
      <c r="A14" s="3" t="s">
        <v>1576</v>
      </c>
      <c r="B14" s="4" t="str">
        <f>VLOOKUP(A14,Insumos,2)</f>
        <v>canasta 1 (camión volcador)</v>
      </c>
      <c r="C14" s="6" t="str">
        <f>VLOOKUP(A14,Insumos,3)</f>
        <v>h</v>
      </c>
      <c r="D14" s="51">
        <v>5.0000000000000001E-3</v>
      </c>
      <c r="E14" s="51">
        <f>VLOOKUP(A14,'IN-10-14'!A15:D889,4)</f>
        <v>557.08467748239605</v>
      </c>
      <c r="F14" s="69">
        <f>(D14*E14)</f>
        <v>2.7854233874119805</v>
      </c>
    </row>
    <row r="15" spans="1:7">
      <c r="D15" s="51"/>
    </row>
    <row r="16" spans="1:7" ht="13.5" thickBot="1">
      <c r="D16" s="51"/>
    </row>
    <row r="17" spans="1:7" ht="13.5" thickTop="1">
      <c r="A17" s="75" t="s">
        <v>342</v>
      </c>
      <c r="B17" s="218" t="s">
        <v>192</v>
      </c>
      <c r="C17" s="77" t="str">
        <f>Fecha</f>
        <v>Oct-14</v>
      </c>
      <c r="D17" s="48"/>
      <c r="E17" s="48"/>
      <c r="F17" s="219">
        <f>SUM(F19:F30)</f>
        <v>333.5562096765687</v>
      </c>
      <c r="G17" s="41"/>
    </row>
    <row r="18" spans="1:7" ht="13.5" thickBot="1">
      <c r="A18" s="7" t="s">
        <v>341</v>
      </c>
      <c r="B18" s="7" t="s">
        <v>1636</v>
      </c>
      <c r="C18" s="78" t="s">
        <v>340</v>
      </c>
      <c r="D18" s="49" t="s">
        <v>1770</v>
      </c>
      <c r="E18" s="50"/>
      <c r="F18" s="68"/>
      <c r="G18" s="42" t="s">
        <v>1876</v>
      </c>
    </row>
    <row r="19" spans="1:7" ht="13.5" thickTop="1">
      <c r="A19" s="82" t="s">
        <v>346</v>
      </c>
      <c r="D19" s="51"/>
      <c r="E19" s="51"/>
      <c r="F19" s="69"/>
    </row>
    <row r="20" spans="1:7">
      <c r="A20" s="229" t="s">
        <v>497</v>
      </c>
      <c r="B20" s="4" t="str">
        <f t="shared" ref="B20:B25" si="3">VLOOKUP(A20,Insumos,2)</f>
        <v>membrana s/aluminio 4 mm espesor</v>
      </c>
      <c r="C20" s="6" t="str">
        <f t="shared" ref="C20:C25" si="4">VLOOKUP(A20,Insumos,3)</f>
        <v>m2</v>
      </c>
      <c r="D20" s="51">
        <v>1.1000000000000001</v>
      </c>
      <c r="E20" s="51">
        <f>VLOOKUP(A20,'IN-10-14'!A21:D895,4)</f>
        <v>42.7</v>
      </c>
      <c r="F20" s="69">
        <f t="shared" ref="F20:F26" si="5">(D20*E20)</f>
        <v>46.970000000000006</v>
      </c>
    </row>
    <row r="21" spans="1:7">
      <c r="A21" s="3" t="s">
        <v>1584</v>
      </c>
      <c r="B21" s="4" t="str">
        <f t="shared" si="3"/>
        <v>poliestireno expandido 20 mm</v>
      </c>
      <c r="C21" s="6" t="str">
        <f t="shared" si="4"/>
        <v>m2</v>
      </c>
      <c r="D21" s="51">
        <v>1.1000000000000001</v>
      </c>
      <c r="E21" s="51">
        <f>VLOOKUP(A21,'IN-10-14'!A22:D896,4)</f>
        <v>22.942148760330578</v>
      </c>
      <c r="F21" s="69">
        <f t="shared" si="5"/>
        <v>25.236363636363638</v>
      </c>
    </row>
    <row r="22" spans="1:7">
      <c r="A22" s="3" t="s">
        <v>1578</v>
      </c>
      <c r="B22" s="4" t="str">
        <f t="shared" si="3"/>
        <v>cemento Portland</v>
      </c>
      <c r="C22" s="6" t="str">
        <f t="shared" si="4"/>
        <v>kg</v>
      </c>
      <c r="D22" s="51">
        <v>1.5</v>
      </c>
      <c r="E22" s="51">
        <f>VLOOKUP(A22,'IN-10-14'!A23:D897,4)</f>
        <v>1.7372000000000001</v>
      </c>
      <c r="F22" s="69">
        <f t="shared" si="5"/>
        <v>2.6058000000000003</v>
      </c>
    </row>
    <row r="23" spans="1:7">
      <c r="A23" s="3" t="s">
        <v>1585</v>
      </c>
      <c r="B23" s="4" t="str">
        <f t="shared" si="3"/>
        <v>cal hidratada en bolsa</v>
      </c>
      <c r="C23" s="6" t="str">
        <f t="shared" si="4"/>
        <v>kg</v>
      </c>
      <c r="D23" s="51">
        <v>5.0999999999999996</v>
      </c>
      <c r="E23" s="51">
        <f>VLOOKUP(A23,'IN-10-14'!A24:D898,4)</f>
        <v>1.9256198347107438</v>
      </c>
      <c r="F23" s="69">
        <f t="shared" si="5"/>
        <v>9.8206611570247926</v>
      </c>
    </row>
    <row r="24" spans="1:7">
      <c r="A24" s="3" t="s">
        <v>1580</v>
      </c>
      <c r="B24" s="4" t="str">
        <f t="shared" si="3"/>
        <v>arena gruesa</v>
      </c>
      <c r="C24" s="6" t="str">
        <f t="shared" si="4"/>
        <v>m3</v>
      </c>
      <c r="D24" s="51">
        <v>4.4999999999999998E-2</v>
      </c>
      <c r="E24" s="51">
        <f>VLOOKUP(A24,'IN-10-14'!A25:D899,4)</f>
        <v>184.46464646464645</v>
      </c>
      <c r="F24" s="69">
        <f t="shared" si="5"/>
        <v>8.3009090909090908</v>
      </c>
    </row>
    <row r="25" spans="1:7">
      <c r="A25" s="3" t="s">
        <v>1593</v>
      </c>
      <c r="B25" s="4" t="str">
        <f t="shared" si="3"/>
        <v>pintura asfáltica base acuosa</v>
      </c>
      <c r="C25" s="6" t="str">
        <f t="shared" si="4"/>
        <v>l</v>
      </c>
      <c r="D25" s="51">
        <v>0.1</v>
      </c>
      <c r="E25" s="51">
        <f>VLOOKUP(A25,'IN-10-14'!A26:D900,4)</f>
        <v>8.356290174471992</v>
      </c>
      <c r="F25" s="69">
        <f t="shared" si="5"/>
        <v>0.8356290174471992</v>
      </c>
    </row>
    <row r="26" spans="1:7">
      <c r="A26" s="3" t="s">
        <v>1594</v>
      </c>
      <c r="B26" s="4" t="str">
        <f>VLOOKUP(A26,'IN-10-14'!$A$5:$D$441,2)</f>
        <v>teja francesa</v>
      </c>
      <c r="C26" s="4" t="str">
        <f>VLOOKUP(A26,'IN-10-14'!$A$5:$D$441,3)</f>
        <v>u</v>
      </c>
      <c r="D26" s="51">
        <v>15</v>
      </c>
      <c r="E26" s="51">
        <f>VLOOKUP(A26,'IN-10-14'!A27:D901,4)</f>
        <v>7.92</v>
      </c>
      <c r="F26" s="69">
        <f t="shared" si="5"/>
        <v>118.8</v>
      </c>
    </row>
    <row r="27" spans="1:7">
      <c r="A27" s="82" t="s">
        <v>347</v>
      </c>
      <c r="D27" s="51"/>
      <c r="E27" s="51"/>
      <c r="F27" s="69"/>
    </row>
    <row r="28" spans="1:7">
      <c r="A28" s="3" t="s">
        <v>1575</v>
      </c>
      <c r="B28" s="4" t="str">
        <f>VLOOKUP(A28,Insumos,2)</f>
        <v>cuadrilla tipo UOCRA</v>
      </c>
      <c r="C28" s="6" t="str">
        <f>VLOOKUP(A28,Insumos,3)</f>
        <v>h</v>
      </c>
      <c r="D28" s="51">
        <v>1.8</v>
      </c>
      <c r="E28" s="51">
        <f>VLOOKUP(A28,'IN-10-14'!A29:D903,4)</f>
        <v>64.12</v>
      </c>
      <c r="F28" s="69">
        <f>(D28*E28)</f>
        <v>115.41600000000001</v>
      </c>
    </row>
    <row r="29" spans="1:7">
      <c r="A29" s="82" t="s">
        <v>348</v>
      </c>
      <c r="D29" s="51"/>
      <c r="E29" s="51"/>
      <c r="F29" s="69"/>
    </row>
    <row r="30" spans="1:7">
      <c r="A30" s="3" t="s">
        <v>1576</v>
      </c>
      <c r="B30" s="4" t="str">
        <f>VLOOKUP(A30,Insumos,2)</f>
        <v>canasta 1 (camión volcador)</v>
      </c>
      <c r="C30" s="6" t="str">
        <f>VLOOKUP(A30,Insumos,3)</f>
        <v>h</v>
      </c>
      <c r="D30" s="51">
        <v>0.01</v>
      </c>
      <c r="E30" s="51">
        <f>VLOOKUP(A30,'IN-10-14'!A31:D905,4)</f>
        <v>557.08467748239605</v>
      </c>
      <c r="F30" s="69">
        <f>(D30*E30)</f>
        <v>5.570846774823961</v>
      </c>
    </row>
    <row r="31" spans="1:7" ht="13.5" thickBot="1">
      <c r="D31" s="51"/>
    </row>
    <row r="32" spans="1:7" ht="13.5" thickTop="1">
      <c r="A32" s="75" t="s">
        <v>342</v>
      </c>
      <c r="B32" s="218" t="s">
        <v>1637</v>
      </c>
      <c r="C32" s="77" t="str">
        <f>Fecha</f>
        <v>Oct-14</v>
      </c>
      <c r="D32" s="48"/>
      <c r="E32" s="48"/>
      <c r="F32" s="219">
        <f>SUM(F34:F40)</f>
        <v>446.88498359689009</v>
      </c>
      <c r="G32" s="41"/>
    </row>
    <row r="33" spans="1:7" ht="13.5" thickBot="1">
      <c r="A33" s="7" t="s">
        <v>341</v>
      </c>
      <c r="B33" s="7" t="s">
        <v>1636</v>
      </c>
      <c r="C33" s="78" t="s">
        <v>340</v>
      </c>
      <c r="D33" s="49" t="s">
        <v>1702</v>
      </c>
      <c r="E33" s="50"/>
      <c r="F33" s="68"/>
      <c r="G33" s="42" t="s">
        <v>1876</v>
      </c>
    </row>
    <row r="34" spans="1:7" ht="13.5" thickTop="1">
      <c r="A34" s="82" t="s">
        <v>346</v>
      </c>
      <c r="D34" s="51"/>
      <c r="E34" s="51"/>
      <c r="F34" s="69"/>
    </row>
    <row r="35" spans="1:7">
      <c r="A35" s="3" t="s">
        <v>1583</v>
      </c>
      <c r="B35" s="4" t="str">
        <f>VLOOKUP(A35,Insumos,2)</f>
        <v>chapa de hierro N°16 DD de 1 x 2 m.</v>
      </c>
      <c r="C35" s="6" t="str">
        <f>VLOOKUP(A35,Insumos,3)</f>
        <v>kg</v>
      </c>
      <c r="D35" s="51">
        <v>6</v>
      </c>
      <c r="E35" s="51">
        <f>VLOOKUP(A35,'IN-10-14'!A36:D910,4)</f>
        <v>12.934529958677686</v>
      </c>
      <c r="F35" s="69">
        <f>(D35*E35)</f>
        <v>77.607179752066116</v>
      </c>
    </row>
    <row r="36" spans="1:7">
      <c r="A36" s="3" t="s">
        <v>1595</v>
      </c>
      <c r="B36" s="4" t="str">
        <f>VLOOKUP(A36,Insumos,2)</f>
        <v>chapa FºCº acanalada de 6 mm, de 1.10m.x 2.44m.</v>
      </c>
      <c r="C36" s="6" t="str">
        <f>VLOOKUP(A36,Insumos,3)</f>
        <v>u</v>
      </c>
      <c r="D36" s="51">
        <v>0.73</v>
      </c>
      <c r="E36" s="51">
        <f>VLOOKUP(A36,'IN-10-14'!A37:D911,4)</f>
        <v>234.72185899999999</v>
      </c>
      <c r="F36" s="69">
        <f>(D36*E36)</f>
        <v>171.34695707</v>
      </c>
    </row>
    <row r="37" spans="1:7">
      <c r="A37" s="82" t="s">
        <v>347</v>
      </c>
      <c r="D37" s="51"/>
      <c r="E37" s="51"/>
      <c r="F37" s="69"/>
    </row>
    <row r="38" spans="1:7">
      <c r="A38" s="3" t="s">
        <v>1575</v>
      </c>
      <c r="B38" s="4" t="str">
        <f>VLOOKUP(A38,Insumos,2)</f>
        <v>cuadrilla tipo UOCRA</v>
      </c>
      <c r="C38" s="6" t="str">
        <f>VLOOKUP(A38,Insumos,3)</f>
        <v>h</v>
      </c>
      <c r="D38" s="51">
        <v>3</v>
      </c>
      <c r="E38" s="51">
        <f>VLOOKUP(A38,'IN-10-14'!A39:D913,4)</f>
        <v>64.12</v>
      </c>
      <c r="F38" s="69">
        <f>(D38*E38)</f>
        <v>192.36</v>
      </c>
    </row>
    <row r="39" spans="1:7">
      <c r="A39" s="82" t="s">
        <v>348</v>
      </c>
      <c r="D39" s="51"/>
      <c r="E39" s="51"/>
      <c r="F39" s="69"/>
    </row>
    <row r="40" spans="1:7">
      <c r="A40" s="3" t="s">
        <v>1576</v>
      </c>
      <c r="B40" s="4" t="str">
        <f>VLOOKUP(A40,Insumos,2)</f>
        <v>canasta 1 (camión volcador)</v>
      </c>
      <c r="C40" s="6" t="str">
        <f>VLOOKUP(A40,Insumos,3)</f>
        <v>h</v>
      </c>
      <c r="D40" s="51">
        <v>0.01</v>
      </c>
      <c r="E40" s="51">
        <f>VLOOKUP(A40,'IN-10-14'!A41:D915,4)</f>
        <v>557.08467748239605</v>
      </c>
      <c r="F40" s="69">
        <f>(D40*E40)</f>
        <v>5.570846774823961</v>
      </c>
    </row>
    <row r="41" spans="1:7" ht="13.5" thickBot="1">
      <c r="D41" s="51"/>
    </row>
    <row r="42" spans="1:7" ht="13.5" thickTop="1">
      <c r="A42" s="75" t="s">
        <v>342</v>
      </c>
      <c r="B42" s="218" t="s">
        <v>1638</v>
      </c>
      <c r="C42" s="77" t="str">
        <f>Fecha</f>
        <v>Oct-14</v>
      </c>
      <c r="D42" s="48"/>
      <c r="E42" s="48"/>
      <c r="F42" s="219">
        <f>SUM(F44:F50)</f>
        <v>370.49546454341902</v>
      </c>
      <c r="G42" s="41"/>
    </row>
    <row r="43" spans="1:7" ht="13.5" thickBot="1">
      <c r="A43" s="7" t="s">
        <v>341</v>
      </c>
      <c r="B43" s="7" t="s">
        <v>1636</v>
      </c>
      <c r="C43" s="78" t="s">
        <v>340</v>
      </c>
      <c r="D43" s="49" t="s">
        <v>1703</v>
      </c>
      <c r="E43" s="50"/>
      <c r="F43" s="68"/>
      <c r="G43" s="42" t="s">
        <v>1876</v>
      </c>
    </row>
    <row r="44" spans="1:7" ht="13.5" thickTop="1">
      <c r="A44" s="82" t="s">
        <v>346</v>
      </c>
      <c r="D44" s="51"/>
      <c r="E44" s="51"/>
      <c r="F44" s="69"/>
    </row>
    <row r="45" spans="1:7">
      <c r="A45" s="3" t="s">
        <v>1583</v>
      </c>
      <c r="B45" s="4" t="str">
        <f>VLOOKUP(A45,Insumos,2)</f>
        <v>chapa de hierro N°16 DD de 1 x 2 m.</v>
      </c>
      <c r="C45" s="6" t="str">
        <f>VLOOKUP(A45,Insumos,3)</f>
        <v>kg</v>
      </c>
      <c r="D45" s="51">
        <v>6</v>
      </c>
      <c r="E45" s="51">
        <f>VLOOKUP(A45,'IN-10-14'!A46:D920,4)</f>
        <v>12.934529958677686</v>
      </c>
      <c r="F45" s="69">
        <f>(D45*E45)</f>
        <v>77.607179752066116</v>
      </c>
    </row>
    <row r="46" spans="1:7">
      <c r="A46" s="3" t="s">
        <v>1596</v>
      </c>
      <c r="B46" s="4" t="str">
        <f>VLOOKUP(A46,Insumos,2)</f>
        <v>chapa H°G° N°27, 3.05 x 1.10 m.</v>
      </c>
      <c r="C46" s="6" t="str">
        <f>VLOOKUP(A46,Insumos,3)</f>
        <v>u</v>
      </c>
      <c r="D46" s="51">
        <v>0.45</v>
      </c>
      <c r="E46" s="51">
        <f>VLOOKUP(A46,'IN-10-14'!A47:D921,4)</f>
        <v>211.01652892561984</v>
      </c>
      <c r="F46" s="69">
        <f>(D46*E46)</f>
        <v>94.957438016528926</v>
      </c>
    </row>
    <row r="47" spans="1:7">
      <c r="A47" s="82" t="s">
        <v>347</v>
      </c>
      <c r="D47" s="51"/>
      <c r="E47" s="51"/>
      <c r="F47" s="69"/>
    </row>
    <row r="48" spans="1:7">
      <c r="A48" s="3" t="s">
        <v>1575</v>
      </c>
      <c r="B48" s="4" t="str">
        <f>VLOOKUP(A48,Insumos,2)</f>
        <v>cuadrilla tipo UOCRA</v>
      </c>
      <c r="C48" s="6" t="str">
        <f>VLOOKUP(A48,Insumos,3)</f>
        <v>h</v>
      </c>
      <c r="D48" s="51">
        <v>3</v>
      </c>
      <c r="E48" s="51">
        <f>VLOOKUP(A48,'IN-10-14'!A49:D923,4)</f>
        <v>64.12</v>
      </c>
      <c r="F48" s="69">
        <f>(D48*E48)</f>
        <v>192.36</v>
      </c>
    </row>
    <row r="49" spans="1:7">
      <c r="A49" s="82" t="s">
        <v>348</v>
      </c>
      <c r="D49" s="51"/>
      <c r="E49" s="51"/>
      <c r="F49" s="69"/>
    </row>
    <row r="50" spans="1:7">
      <c r="A50" s="3" t="s">
        <v>1576</v>
      </c>
      <c r="B50" s="4" t="str">
        <f>VLOOKUP(A50,Insumos,2)</f>
        <v>canasta 1 (camión volcador)</v>
      </c>
      <c r="C50" s="6" t="str">
        <f>VLOOKUP(A50,Insumos,3)</f>
        <v>h</v>
      </c>
      <c r="D50" s="51">
        <v>0.01</v>
      </c>
      <c r="E50" s="51">
        <f>VLOOKUP(A50,'IN-10-14'!A51:D925,4)</f>
        <v>557.08467748239605</v>
      </c>
      <c r="F50" s="69">
        <f>(D50*E50)</f>
        <v>5.570846774823961</v>
      </c>
    </row>
    <row r="51" spans="1:7" ht="13.5" thickBot="1">
      <c r="D51" s="51"/>
    </row>
    <row r="52" spans="1:7" ht="13.5" thickTop="1">
      <c r="A52" s="75" t="s">
        <v>342</v>
      </c>
      <c r="B52" s="218" t="s">
        <v>1639</v>
      </c>
      <c r="C52" s="77" t="str">
        <f>Fecha</f>
        <v>Oct-14</v>
      </c>
      <c r="D52" s="48"/>
      <c r="E52" s="48"/>
      <c r="F52" s="219">
        <f>SUM(F54:F61)</f>
        <v>360.5961277665595</v>
      </c>
      <c r="G52" s="41"/>
    </row>
    <row r="53" spans="1:7" ht="13.5" thickBot="1">
      <c r="A53" s="7" t="s">
        <v>341</v>
      </c>
      <c r="B53" s="7" t="s">
        <v>1636</v>
      </c>
      <c r="C53" s="78" t="s">
        <v>340</v>
      </c>
      <c r="D53" s="49" t="s">
        <v>1704</v>
      </c>
      <c r="E53" s="50"/>
      <c r="F53" s="68"/>
      <c r="G53" s="42" t="s">
        <v>1876</v>
      </c>
    </row>
    <row r="54" spans="1:7" ht="13.5" thickTop="1">
      <c r="A54" s="82" t="s">
        <v>346</v>
      </c>
      <c r="D54" s="51"/>
      <c r="E54" s="51"/>
      <c r="F54" s="69"/>
    </row>
    <row r="55" spans="1:7">
      <c r="A55" s="3" t="s">
        <v>1705</v>
      </c>
      <c r="B55" s="4" t="str">
        <f>VLOOKUP(A55,Insumos,2)</f>
        <v>tirante pino 2x3"</v>
      </c>
      <c r="C55" s="6" t="str">
        <f>VLOOKUP(A55,Insumos,3)</f>
        <v>m</v>
      </c>
      <c r="D55" s="51">
        <v>1.1000000000000001</v>
      </c>
      <c r="E55" s="51">
        <f>VLOOKUP(A55,'IN-10-14'!A56:D930,4)</f>
        <v>18.29</v>
      </c>
      <c r="F55" s="69">
        <f>(D55*E55)</f>
        <v>20.119</v>
      </c>
    </row>
    <row r="56" spans="1:7">
      <c r="A56" s="3" t="s">
        <v>1596</v>
      </c>
      <c r="B56" s="4" t="str">
        <f>VLOOKUP(A56,Insumos,2)</f>
        <v>chapa H°G° N°27, 3.05 x 1.10 m.</v>
      </c>
      <c r="C56" s="6" t="str">
        <f>VLOOKUP(A56,Insumos,3)</f>
        <v>u</v>
      </c>
      <c r="D56" s="51">
        <v>0.45</v>
      </c>
      <c r="E56" s="51">
        <f>VLOOKUP(A56,'IN-10-14'!A57:D931,4)</f>
        <v>211.01652892561984</v>
      </c>
      <c r="F56" s="69">
        <f>(D56*E56)</f>
        <v>94.957438016528926</v>
      </c>
    </row>
    <row r="57" spans="1:7">
      <c r="A57" s="3" t="s">
        <v>145</v>
      </c>
      <c r="B57" s="4" t="str">
        <f>VLOOKUP(A57,Insumos,2)</f>
        <v>madera 1" pino nacional s/cepillar</v>
      </c>
      <c r="C57" s="6" t="str">
        <f>VLOOKUP(A57,Insumos,3)</f>
        <v>m2</v>
      </c>
      <c r="D57" s="51">
        <v>0.5</v>
      </c>
      <c r="E57" s="51">
        <f>VLOOKUP(A57,'IN-10-14'!A58:D932,4)</f>
        <v>95.177685950413235</v>
      </c>
      <c r="F57" s="69">
        <f>(D57*E57)</f>
        <v>47.588842975206617</v>
      </c>
    </row>
    <row r="58" spans="1:7">
      <c r="A58" s="82" t="s">
        <v>347</v>
      </c>
      <c r="D58" s="51"/>
      <c r="E58" s="51"/>
      <c r="F58" s="69"/>
    </row>
    <row r="59" spans="1:7">
      <c r="A59" s="3" t="s">
        <v>1575</v>
      </c>
      <c r="B59" s="4" t="str">
        <f>VLOOKUP(A59,Insumos,2)</f>
        <v>cuadrilla tipo UOCRA</v>
      </c>
      <c r="C59" s="6" t="str">
        <f>VLOOKUP(A59,Insumos,3)</f>
        <v>h</v>
      </c>
      <c r="D59" s="51">
        <v>3</v>
      </c>
      <c r="E59" s="51">
        <f>VLOOKUP(A59,'IN-10-14'!A60:D934,4)</f>
        <v>64.12</v>
      </c>
      <c r="F59" s="69">
        <f>(D59*E59)</f>
        <v>192.36</v>
      </c>
    </row>
    <row r="60" spans="1:7">
      <c r="A60" s="82" t="s">
        <v>348</v>
      </c>
      <c r="D60" s="51"/>
      <c r="E60" s="51"/>
      <c r="F60" s="69"/>
    </row>
    <row r="61" spans="1:7">
      <c r="A61" s="3" t="s">
        <v>1576</v>
      </c>
      <c r="B61" s="4" t="str">
        <f>VLOOKUP(A61,Insumos,2)</f>
        <v>canasta 1 (camión volcador)</v>
      </c>
      <c r="C61" s="6" t="str">
        <f>VLOOKUP(A61,Insumos,3)</f>
        <v>h</v>
      </c>
      <c r="D61" s="51">
        <v>0.01</v>
      </c>
      <c r="E61" s="51">
        <f>VLOOKUP(A61,'IN-10-14'!A62:D936,4)</f>
        <v>557.08467748239605</v>
      </c>
      <c r="F61" s="69">
        <f>(D61*E61)</f>
        <v>5.570846774823961</v>
      </c>
    </row>
    <row r="62" spans="1:7" ht="13.5" thickBot="1">
      <c r="D62" s="51"/>
    </row>
    <row r="63" spans="1:7" ht="13.5" thickTop="1">
      <c r="A63" s="75" t="s">
        <v>342</v>
      </c>
      <c r="B63" s="218" t="s">
        <v>1640</v>
      </c>
      <c r="C63" s="77" t="str">
        <f>Fecha</f>
        <v>Oct-14</v>
      </c>
      <c r="D63" s="48"/>
      <c r="E63" s="48"/>
      <c r="F63" s="219">
        <f>SUM(F65:F77)</f>
        <v>1784.7883738614885</v>
      </c>
      <c r="G63" s="41"/>
    </row>
    <row r="64" spans="1:7" ht="13.5" thickBot="1">
      <c r="A64" s="7" t="s">
        <v>341</v>
      </c>
      <c r="B64" s="7" t="s">
        <v>1636</v>
      </c>
      <c r="C64" s="78" t="s">
        <v>340</v>
      </c>
      <c r="D64" s="49" t="s">
        <v>1682</v>
      </c>
      <c r="E64" s="50"/>
      <c r="F64" s="68"/>
      <c r="G64" s="42" t="s">
        <v>1876</v>
      </c>
    </row>
    <row r="65" spans="1:7" ht="13.5" thickTop="1">
      <c r="A65" s="82" t="s">
        <v>346</v>
      </c>
      <c r="D65" s="51"/>
      <c r="E65" s="51"/>
      <c r="F65" s="69"/>
    </row>
    <row r="66" spans="1:7">
      <c r="A66" s="3" t="s">
        <v>1578</v>
      </c>
      <c r="B66" s="4" t="str">
        <f t="shared" ref="B66:B72" si="6">VLOOKUP(A66,Insumos,2)</f>
        <v>cemento Portland</v>
      </c>
      <c r="C66" s="6" t="str">
        <f t="shared" ref="C66:C72" si="7">VLOOKUP(A66,Insumos,3)</f>
        <v>kg</v>
      </c>
      <c r="D66" s="51">
        <v>12</v>
      </c>
      <c r="E66" s="51">
        <f>VLOOKUP(A66,'IN-10-14'!A67:D941,4)</f>
        <v>1.7372000000000001</v>
      </c>
      <c r="F66" s="69">
        <f t="shared" ref="F66:F73" si="8">(D66*E66)</f>
        <v>20.846400000000003</v>
      </c>
    </row>
    <row r="67" spans="1:7">
      <c r="A67" s="3" t="s">
        <v>1585</v>
      </c>
      <c r="B67" s="4" t="str">
        <f t="shared" si="6"/>
        <v>cal hidratada en bolsa</v>
      </c>
      <c r="C67" s="6" t="str">
        <f t="shared" si="7"/>
        <v>kg</v>
      </c>
      <c r="D67" s="51">
        <v>8</v>
      </c>
      <c r="E67" s="51">
        <f>VLOOKUP(A67,'IN-10-14'!A68:D942,4)</f>
        <v>1.9256198347107438</v>
      </c>
      <c r="F67" s="69">
        <f t="shared" si="8"/>
        <v>15.404958677685951</v>
      </c>
    </row>
    <row r="68" spans="1:7">
      <c r="A68" s="229" t="s">
        <v>497</v>
      </c>
      <c r="B68" s="4" t="str">
        <f t="shared" si="6"/>
        <v>membrana s/aluminio 4 mm espesor</v>
      </c>
      <c r="C68" s="6" t="str">
        <f t="shared" si="7"/>
        <v>m2</v>
      </c>
      <c r="D68" s="51">
        <v>1.1000000000000001</v>
      </c>
      <c r="E68" s="51">
        <f>VLOOKUP(A68,'IN-10-14'!A30:D943,4)</f>
        <v>42.7</v>
      </c>
      <c r="F68" s="69">
        <f t="shared" si="8"/>
        <v>46.970000000000006</v>
      </c>
    </row>
    <row r="69" spans="1:7">
      <c r="A69" s="3" t="s">
        <v>1593</v>
      </c>
      <c r="B69" s="4" t="str">
        <f t="shared" si="6"/>
        <v>pintura asfáltica base acuosa</v>
      </c>
      <c r="C69" s="6" t="str">
        <f t="shared" si="7"/>
        <v>l</v>
      </c>
      <c r="D69" s="51">
        <v>0.4</v>
      </c>
      <c r="E69" s="51">
        <f>VLOOKUP(A69,'IN-10-14'!A38:D944,4)</f>
        <v>8.356290174471992</v>
      </c>
      <c r="F69" s="69">
        <f t="shared" si="8"/>
        <v>3.3425160697887968</v>
      </c>
    </row>
    <row r="70" spans="1:7">
      <c r="A70" s="3" t="s">
        <v>1584</v>
      </c>
      <c r="B70" s="4" t="str">
        <f t="shared" si="6"/>
        <v>poliestireno expandido 20 mm</v>
      </c>
      <c r="C70" s="6" t="str">
        <f t="shared" si="7"/>
        <v>m2</v>
      </c>
      <c r="D70" s="51">
        <v>1.05</v>
      </c>
      <c r="E70" s="51">
        <f>VLOOKUP(A70,'IN-10-14'!A39:D945,4)</f>
        <v>22.942148760330578</v>
      </c>
      <c r="F70" s="69">
        <f t="shared" si="8"/>
        <v>24.089256198347108</v>
      </c>
    </row>
    <row r="71" spans="1:7">
      <c r="A71" s="3" t="s">
        <v>1590</v>
      </c>
      <c r="B71" s="4" t="str">
        <f t="shared" si="6"/>
        <v>ripiosa</v>
      </c>
      <c r="C71" s="6" t="str">
        <f t="shared" si="7"/>
        <v>m3</v>
      </c>
      <c r="D71" s="51">
        <v>0.13</v>
      </c>
      <c r="E71" s="51">
        <f>VLOOKUP(A71,'IN-10-14'!A45:D946,4)</f>
        <v>174.5</v>
      </c>
      <c r="F71" s="69">
        <f t="shared" si="8"/>
        <v>22.685000000000002</v>
      </c>
    </row>
    <row r="72" spans="1:7">
      <c r="A72" s="3" t="s">
        <v>1580</v>
      </c>
      <c r="B72" s="4" t="str">
        <f t="shared" si="6"/>
        <v>arena gruesa</v>
      </c>
      <c r="C72" s="6" t="str">
        <f t="shared" si="7"/>
        <v>m3</v>
      </c>
      <c r="D72" s="51">
        <v>2.5000000000000001E-2</v>
      </c>
      <c r="E72" s="51">
        <f>VLOOKUP(A72,'IN-10-14'!A42:D947,4)</f>
        <v>184.46464646464645</v>
      </c>
      <c r="F72" s="69">
        <f t="shared" si="8"/>
        <v>4.6116161616161611</v>
      </c>
    </row>
    <row r="73" spans="1:7" s="123" customFormat="1">
      <c r="A73" s="245" t="s">
        <v>999</v>
      </c>
      <c r="B73" s="221" t="str">
        <f>VLOOKUP(A73,'IN-10-14'!$A$5:$D$441,2)</f>
        <v>baldosa roja 20x20 tipo azotea</v>
      </c>
      <c r="C73" s="221" t="str">
        <f>VLOOKUP(A73,'IN-10-14'!$A$5:$D$441,3)</f>
        <v>m2</v>
      </c>
      <c r="D73" s="64">
        <v>25</v>
      </c>
      <c r="E73" s="64">
        <f>VLOOKUP(A73,'IN-10-14'!A74:D948,4)</f>
        <v>54.29</v>
      </c>
      <c r="F73" s="222">
        <f t="shared" si="8"/>
        <v>1357.25</v>
      </c>
      <c r="G73" s="19"/>
    </row>
    <row r="74" spans="1:7">
      <c r="A74" s="82" t="s">
        <v>347</v>
      </c>
      <c r="D74" s="51"/>
      <c r="E74" s="51"/>
      <c r="F74" s="69"/>
    </row>
    <row r="75" spans="1:7">
      <c r="A75" s="3" t="s">
        <v>1575</v>
      </c>
      <c r="B75" s="4" t="str">
        <f>VLOOKUP(A75,Insumos,2)</f>
        <v>cuadrilla tipo UOCRA</v>
      </c>
      <c r="C75" s="6" t="str">
        <f>VLOOKUP(A75,Insumos,3)</f>
        <v>h</v>
      </c>
      <c r="D75" s="51">
        <v>4</v>
      </c>
      <c r="E75" s="51">
        <f>VLOOKUP(A75,'IN-10-14'!A76:D950,4)</f>
        <v>64.12</v>
      </c>
      <c r="F75" s="69">
        <f>(D75*E75)</f>
        <v>256.48</v>
      </c>
    </row>
    <row r="76" spans="1:7">
      <c r="A76" s="82" t="s">
        <v>348</v>
      </c>
      <c r="D76" s="51"/>
      <c r="E76" s="51"/>
      <c r="F76" s="69"/>
    </row>
    <row r="77" spans="1:7">
      <c r="A77" s="3" t="s">
        <v>1581</v>
      </c>
      <c r="B77" s="4" t="str">
        <f>VLOOKUP(A77,Insumos,2)</f>
        <v>canasta 2 (mixer 5m3)</v>
      </c>
      <c r="C77" s="6" t="str">
        <f>VLOOKUP(A77,Insumos,3)</f>
        <v>h</v>
      </c>
      <c r="D77" s="51">
        <v>0.04</v>
      </c>
      <c r="E77" s="51">
        <f>VLOOKUP(A77,'IN-10-14'!A78:D952,4)</f>
        <v>827.71566885125844</v>
      </c>
      <c r="F77" s="69">
        <f>(D77*E77)</f>
        <v>33.108626754050341</v>
      </c>
    </row>
    <row r="78" spans="1:7">
      <c r="A78" s="3"/>
      <c r="B78" s="4"/>
      <c r="C78" s="6"/>
      <c r="D78" s="51"/>
      <c r="E78" s="51"/>
      <c r="F78" s="69"/>
    </row>
    <row r="79" spans="1:7" ht="13.5" thickBot="1">
      <c r="D79" s="51"/>
    </row>
    <row r="80" spans="1:7" ht="13.5" thickTop="1">
      <c r="A80" s="75" t="s">
        <v>342</v>
      </c>
      <c r="B80" s="218" t="s">
        <v>1641</v>
      </c>
      <c r="C80" s="77" t="str">
        <f>Fecha</f>
        <v>Oct-14</v>
      </c>
      <c r="D80" s="48"/>
      <c r="E80" s="48"/>
      <c r="F80" s="219">
        <f>SUM(F82:F93)</f>
        <v>598.17664306888514</v>
      </c>
      <c r="G80" s="41"/>
    </row>
    <row r="81" spans="1:7" ht="13.5" thickBot="1">
      <c r="A81" s="7" t="s">
        <v>341</v>
      </c>
      <c r="B81" s="7" t="s">
        <v>1636</v>
      </c>
      <c r="C81" s="78" t="s">
        <v>340</v>
      </c>
      <c r="D81" s="49" t="s">
        <v>1683</v>
      </c>
      <c r="E81" s="50"/>
      <c r="F81" s="68"/>
      <c r="G81" s="42" t="s">
        <v>1876</v>
      </c>
    </row>
    <row r="82" spans="1:7" ht="13.5" thickTop="1">
      <c r="A82" s="82" t="s">
        <v>346</v>
      </c>
      <c r="D82" s="51"/>
      <c r="E82" s="51"/>
      <c r="F82" s="69"/>
    </row>
    <row r="83" spans="1:7">
      <c r="A83" s="3" t="s">
        <v>1578</v>
      </c>
      <c r="B83" s="4" t="str">
        <f t="shared" ref="B83:B89" si="9">VLOOKUP(A83,Insumos,2)</f>
        <v>cemento Portland</v>
      </c>
      <c r="C83" s="6" t="str">
        <f t="shared" ref="C83:C89" si="10">VLOOKUP(A83,Insumos,3)</f>
        <v>kg</v>
      </c>
      <c r="D83" s="51">
        <v>25</v>
      </c>
      <c r="E83" s="51">
        <f>VLOOKUP(A83,'IN-10-14'!A84:D958,4)</f>
        <v>1.7372000000000001</v>
      </c>
      <c r="F83" s="69">
        <f t="shared" ref="F83:F89" si="11">(D83*E83)</f>
        <v>43.43</v>
      </c>
    </row>
    <row r="84" spans="1:7">
      <c r="A84" s="3" t="s">
        <v>1577</v>
      </c>
      <c r="B84" s="4" t="str">
        <f t="shared" si="9"/>
        <v>hierro mejorado de 10 mm.</v>
      </c>
      <c r="C84" s="6" t="str">
        <f t="shared" si="10"/>
        <v>kg</v>
      </c>
      <c r="D84" s="51">
        <v>1.5</v>
      </c>
      <c r="E84" s="51">
        <f>VLOOKUP(A84,'IN-10-14'!A7:D959,4)</f>
        <v>10.584654902836721</v>
      </c>
      <c r="F84" s="69">
        <f t="shared" si="11"/>
        <v>15.876982354255082</v>
      </c>
    </row>
    <row r="85" spans="1:7">
      <c r="A85" s="3" t="s">
        <v>1579</v>
      </c>
      <c r="B85" s="4" t="str">
        <f t="shared" si="9"/>
        <v>ripio zarandeado 1/3</v>
      </c>
      <c r="C85" s="6" t="str">
        <f t="shared" si="10"/>
        <v>m3</v>
      </c>
      <c r="D85" s="51">
        <v>0.05</v>
      </c>
      <c r="E85" s="51">
        <f>VLOOKUP(A85,'IN-10-14'!A44:D960,4)</f>
        <v>157.18044077134985</v>
      </c>
      <c r="F85" s="69">
        <f t="shared" si="11"/>
        <v>7.8590220385674927</v>
      </c>
    </row>
    <row r="86" spans="1:7">
      <c r="A86" s="3" t="s">
        <v>1580</v>
      </c>
      <c r="B86" s="4" t="str">
        <f t="shared" si="9"/>
        <v>arena gruesa</v>
      </c>
      <c r="C86" s="6" t="str">
        <f t="shared" si="10"/>
        <v>m3</v>
      </c>
      <c r="D86" s="51">
        <v>0.04</v>
      </c>
      <c r="E86" s="51">
        <f>VLOOKUP(A86,'IN-10-14'!A42:D961,4)</f>
        <v>184.46464646464645</v>
      </c>
      <c r="F86" s="69">
        <f t="shared" si="11"/>
        <v>7.3785858585858577</v>
      </c>
    </row>
    <row r="87" spans="1:7">
      <c r="A87" s="3" t="s">
        <v>1597</v>
      </c>
      <c r="B87" s="4" t="str">
        <f t="shared" si="9"/>
        <v>bovedilla cerámica para viguetas 12,5x40x25</v>
      </c>
      <c r="C87" s="6" t="str">
        <f t="shared" si="10"/>
        <v>u</v>
      </c>
      <c r="D87" s="51">
        <v>8</v>
      </c>
      <c r="E87" s="51">
        <f>VLOOKUP(A87,'IN-10-14'!A88:D962,4)</f>
        <v>8.59</v>
      </c>
      <c r="F87" s="69">
        <f t="shared" si="11"/>
        <v>68.72</v>
      </c>
    </row>
    <row r="88" spans="1:7">
      <c r="A88" s="3" t="s">
        <v>1706</v>
      </c>
      <c r="B88" s="4" t="str">
        <f t="shared" si="9"/>
        <v>malla Sima Q92</v>
      </c>
      <c r="C88" s="6" t="str">
        <f t="shared" si="10"/>
        <v>kg</v>
      </c>
      <c r="D88" s="51">
        <v>1.3</v>
      </c>
      <c r="E88" s="51">
        <f>VLOOKUP(A88,'IN-10-14'!A11:D963,4)</f>
        <v>16.519166666666639</v>
      </c>
      <c r="F88" s="69">
        <f t="shared" si="11"/>
        <v>21.47491666666663</v>
      </c>
    </row>
    <row r="89" spans="1:7">
      <c r="A89" s="3" t="s">
        <v>1598</v>
      </c>
      <c r="B89" s="4" t="str">
        <f t="shared" si="9"/>
        <v>viguetas pretensadas 3.90 m.</v>
      </c>
      <c r="C89" s="6" t="str">
        <f t="shared" si="10"/>
        <v>m</v>
      </c>
      <c r="D89" s="51">
        <v>2.2000000000000002</v>
      </c>
      <c r="E89" s="51">
        <f>VLOOKUP(A89,'IN-10-14'!A55:D964,4)</f>
        <v>37.495913999999999</v>
      </c>
      <c r="F89" s="69">
        <f t="shared" si="11"/>
        <v>82.491010799999998</v>
      </c>
    </row>
    <row r="90" spans="1:7">
      <c r="A90" s="82" t="s">
        <v>347</v>
      </c>
      <c r="D90" s="51"/>
      <c r="E90" s="51"/>
      <c r="F90" s="69"/>
    </row>
    <row r="91" spans="1:7">
      <c r="A91" s="3" t="s">
        <v>1575</v>
      </c>
      <c r="B91" s="4" t="str">
        <f>VLOOKUP(A91,Insumos,2)</f>
        <v>cuadrilla tipo UOCRA</v>
      </c>
      <c r="C91" s="6" t="str">
        <f>VLOOKUP(A91,Insumos,3)</f>
        <v>h</v>
      </c>
      <c r="D91" s="51">
        <v>5.37</v>
      </c>
      <c r="E91" s="51">
        <f>VLOOKUP(A91,'IN-10-14'!A92:D966,4)</f>
        <v>64.12</v>
      </c>
      <c r="F91" s="69">
        <f>(D91*E91)</f>
        <v>344.32440000000003</v>
      </c>
    </row>
    <row r="92" spans="1:7">
      <c r="A92" s="82" t="s">
        <v>348</v>
      </c>
      <c r="D92" s="51"/>
      <c r="E92" s="51"/>
      <c r="F92" s="69"/>
    </row>
    <row r="93" spans="1:7">
      <c r="A93" s="3" t="s">
        <v>1581</v>
      </c>
      <c r="B93" s="4" t="str">
        <f>VLOOKUP(A93,Insumos,2)</f>
        <v>canasta 2 (mixer 5m3)</v>
      </c>
      <c r="C93" s="6" t="str">
        <f>VLOOKUP(A93,Insumos,3)</f>
        <v>h</v>
      </c>
      <c r="D93" s="51">
        <v>8.0000000000000002E-3</v>
      </c>
      <c r="E93" s="51">
        <f>VLOOKUP(A93,'IN-10-14'!A94:D968,4)</f>
        <v>827.71566885125844</v>
      </c>
      <c r="F93" s="69">
        <f>(D93*E93)</f>
        <v>6.6217253508100677</v>
      </c>
    </row>
    <row r="94" spans="1:7" ht="13.5" thickBot="1">
      <c r="D94" s="51"/>
    </row>
    <row r="95" spans="1:7" ht="13.5" thickTop="1">
      <c r="A95" s="75" t="s">
        <v>342</v>
      </c>
      <c r="B95" s="218" t="s">
        <v>381</v>
      </c>
      <c r="C95" s="77" t="str">
        <f>Fecha</f>
        <v>Oct-14</v>
      </c>
      <c r="D95" s="48"/>
      <c r="E95" s="48"/>
      <c r="F95" s="219">
        <f>SUM(F97:F103)</f>
        <v>377.64352755994793</v>
      </c>
      <c r="G95" s="41"/>
    </row>
    <row r="96" spans="1:7" ht="13.5" thickBot="1">
      <c r="A96" s="7" t="s">
        <v>341</v>
      </c>
      <c r="B96" s="7" t="s">
        <v>1636</v>
      </c>
      <c r="C96" s="78" t="s">
        <v>340</v>
      </c>
      <c r="D96" s="49" t="s">
        <v>379</v>
      </c>
      <c r="E96" s="50"/>
      <c r="F96" s="68"/>
      <c r="G96" s="42" t="s">
        <v>1876</v>
      </c>
    </row>
    <row r="97" spans="1:6" ht="13.5" thickTop="1">
      <c r="A97" s="82" t="s">
        <v>346</v>
      </c>
      <c r="D97" s="51"/>
      <c r="E97" s="51"/>
      <c r="F97" s="69"/>
    </row>
    <row r="98" spans="1:6">
      <c r="A98" s="3" t="s">
        <v>1583</v>
      </c>
      <c r="B98" s="4" t="str">
        <f>VLOOKUP(A98,Insumos,2)</f>
        <v>chapa de hierro N°16 DD de 1 x 2 m.</v>
      </c>
      <c r="C98" s="6" t="str">
        <f>VLOOKUP(A98,Insumos,3)</f>
        <v>kg</v>
      </c>
      <c r="D98" s="51">
        <v>3</v>
      </c>
      <c r="E98" s="51">
        <f>VLOOKUP(A98,'IN-10-14'!A62:D973,4)</f>
        <v>12.934529958677686</v>
      </c>
      <c r="F98" s="69">
        <f>(D98*E98)</f>
        <v>38.803589876033058</v>
      </c>
    </row>
    <row r="99" spans="1:6">
      <c r="A99" s="3" t="s">
        <v>31</v>
      </c>
      <c r="B99" s="4" t="str">
        <f>VLOOKUP(A99,'IN-10-14'!$A$5:$D$441,2)</f>
        <v>policarbonato 4mm</v>
      </c>
      <c r="C99" s="4" t="str">
        <f>VLOOKUP(A99,'IN-10-14'!$A$5:$D$441,3)</f>
        <v>m2</v>
      </c>
      <c r="D99" s="51">
        <v>1.1000000000000001</v>
      </c>
      <c r="E99" s="51">
        <f>VLOOKUP(A99,'IN-10-14'!A100:D974,4)</f>
        <v>128.099173553719</v>
      </c>
      <c r="F99" s="69">
        <f>(D99*E99)</f>
        <v>140.90909090909091</v>
      </c>
    </row>
    <row r="100" spans="1:6">
      <c r="A100" s="82" t="s">
        <v>347</v>
      </c>
      <c r="D100" s="51"/>
      <c r="E100" s="51"/>
      <c r="F100" s="69"/>
    </row>
    <row r="101" spans="1:6">
      <c r="A101" s="3" t="s">
        <v>1575</v>
      </c>
      <c r="B101" s="4" t="str">
        <f>VLOOKUP(A101,Insumos,2)</f>
        <v>cuadrilla tipo UOCRA</v>
      </c>
      <c r="C101" s="6" t="str">
        <f>VLOOKUP(A101,Insumos,3)</f>
        <v>h</v>
      </c>
      <c r="D101" s="51">
        <v>3</v>
      </c>
      <c r="E101" s="51">
        <f>VLOOKUP(A101,'IN-10-14'!A102:D976,4)</f>
        <v>64.12</v>
      </c>
      <c r="F101" s="69">
        <f>(D101*E101)</f>
        <v>192.36</v>
      </c>
    </row>
    <row r="102" spans="1:6">
      <c r="A102" s="82" t="s">
        <v>348</v>
      </c>
      <c r="D102" s="51"/>
      <c r="E102" s="51"/>
      <c r="F102" s="69"/>
    </row>
    <row r="103" spans="1:6">
      <c r="A103" s="3" t="s">
        <v>1576</v>
      </c>
      <c r="B103" s="4" t="str">
        <f>VLOOKUP(A103,Insumos,2)</f>
        <v>canasta 1 (camión volcador)</v>
      </c>
      <c r="C103" s="6" t="str">
        <f>VLOOKUP(A103,Insumos,3)</f>
        <v>h</v>
      </c>
      <c r="D103" s="51">
        <v>0.01</v>
      </c>
      <c r="E103" s="51">
        <f>VLOOKUP(A103,'IN-10-14'!A104:D978,4)</f>
        <v>557.08467748239605</v>
      </c>
      <c r="F103" s="69">
        <f>(D103*E103)</f>
        <v>5.570846774823961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 topLeftCell="A9">
      <selection activeCell="A17" sqref="A17:G30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1">
    <tabColor indexed="42"/>
  </sheetPr>
  <dimension ref="A1:G78"/>
  <sheetViews>
    <sheetView showGridLines="0" zoomScale="90" zoomScaleNormal="75" zoomScaleSheetLayoutView="75" workbookViewId="0">
      <selection activeCell="I12" sqref="I12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>
      <c r="D1" s="51"/>
    </row>
    <row r="2" spans="1:7" ht="13.5" thickTop="1">
      <c r="A2" s="75" t="s">
        <v>342</v>
      </c>
      <c r="B2" s="8" t="s">
        <v>1642</v>
      </c>
      <c r="C2" s="77" t="str">
        <f>Fecha</f>
        <v>Oct-14</v>
      </c>
      <c r="D2" s="48"/>
      <c r="E2" s="48"/>
      <c r="F2" s="67">
        <f>SUM(F4:F14)</f>
        <v>299.5905231966085</v>
      </c>
      <c r="G2" s="41"/>
    </row>
    <row r="3" spans="1:7" ht="13.5" thickBot="1">
      <c r="A3" s="7" t="s">
        <v>341</v>
      </c>
      <c r="B3" s="7" t="s">
        <v>1643</v>
      </c>
      <c r="C3" s="78" t="s">
        <v>340</v>
      </c>
      <c r="D3" s="49" t="s">
        <v>1684</v>
      </c>
      <c r="E3" s="50"/>
      <c r="F3" s="68"/>
      <c r="G3" s="42" t="s">
        <v>1876</v>
      </c>
    </row>
    <row r="4" spans="1:7" ht="13.5" thickTop="1">
      <c r="A4" s="82" t="s">
        <v>346</v>
      </c>
      <c r="D4" s="51"/>
      <c r="E4" s="51"/>
      <c r="F4" s="69"/>
    </row>
    <row r="5" spans="1:7">
      <c r="A5" s="3" t="s">
        <v>1578</v>
      </c>
      <c r="B5" s="4" t="str">
        <f t="shared" ref="B5:B10" si="0">VLOOKUP(A5,Insumos,2)</f>
        <v>cemento Portland</v>
      </c>
      <c r="C5" s="6" t="str">
        <f t="shared" ref="C5:C10" si="1">VLOOKUP(A5,Insumos,3)</f>
        <v>kg</v>
      </c>
      <c r="D5" s="51">
        <v>4</v>
      </c>
      <c r="E5" s="51">
        <f t="shared" ref="E5:E10" si="2">VLOOKUP(A5,Insumos,4)</f>
        <v>1.7372000000000001</v>
      </c>
      <c r="F5" s="69">
        <f t="shared" ref="F5:F10" si="3">(D5*E5)</f>
        <v>6.9488000000000003</v>
      </c>
    </row>
    <row r="6" spans="1:7">
      <c r="A6" s="3" t="s">
        <v>1585</v>
      </c>
      <c r="B6" s="4" t="str">
        <f t="shared" si="0"/>
        <v>cal hidratada en bolsa</v>
      </c>
      <c r="C6" s="6" t="str">
        <f t="shared" si="1"/>
        <v>kg</v>
      </c>
      <c r="D6" s="51">
        <v>3.1</v>
      </c>
      <c r="E6" s="51">
        <f t="shared" si="2"/>
        <v>1.9256198347107438</v>
      </c>
      <c r="F6" s="69">
        <f t="shared" si="3"/>
        <v>5.9694214876033058</v>
      </c>
    </row>
    <row r="7" spans="1:7">
      <c r="A7" s="3" t="s">
        <v>145</v>
      </c>
      <c r="B7" s="4" t="str">
        <f t="shared" si="0"/>
        <v>madera 1" pino nacional s/cepillar</v>
      </c>
      <c r="C7" s="6" t="str">
        <f t="shared" si="1"/>
        <v>m2</v>
      </c>
      <c r="D7" s="51">
        <v>0.5</v>
      </c>
      <c r="E7" s="51">
        <f t="shared" si="2"/>
        <v>95.177685950413235</v>
      </c>
      <c r="F7" s="69">
        <f t="shared" si="3"/>
        <v>47.588842975206617</v>
      </c>
    </row>
    <row r="8" spans="1:7">
      <c r="A8" s="3" t="s">
        <v>1599</v>
      </c>
      <c r="B8" s="4" t="str">
        <f t="shared" si="0"/>
        <v>metal desplegado 0.75mx2.00m.</v>
      </c>
      <c r="C8" s="6" t="str">
        <f t="shared" si="1"/>
        <v>u</v>
      </c>
      <c r="D8" s="51">
        <v>1.31</v>
      </c>
      <c r="E8" s="51">
        <f t="shared" si="2"/>
        <v>21.480032000000005</v>
      </c>
      <c r="F8" s="69">
        <f t="shared" si="3"/>
        <v>28.138841920000008</v>
      </c>
    </row>
    <row r="9" spans="1:7">
      <c r="A9" s="3" t="s">
        <v>1580</v>
      </c>
      <c r="B9" s="4" t="str">
        <f t="shared" si="0"/>
        <v>arena gruesa</v>
      </c>
      <c r="C9" s="6" t="str">
        <f t="shared" si="1"/>
        <v>m3</v>
      </c>
      <c r="D9" s="51">
        <v>0.03</v>
      </c>
      <c r="E9" s="51">
        <f t="shared" si="2"/>
        <v>184.46464646464645</v>
      </c>
      <c r="F9" s="69">
        <f t="shared" si="3"/>
        <v>5.5339393939393933</v>
      </c>
    </row>
    <row r="10" spans="1:7">
      <c r="A10" s="3" t="s">
        <v>1700</v>
      </c>
      <c r="B10" s="4" t="str">
        <f t="shared" si="0"/>
        <v>listones pino 1x2"</v>
      </c>
      <c r="C10" s="6" t="str">
        <f t="shared" si="1"/>
        <v>m</v>
      </c>
      <c r="D10" s="51">
        <v>2.2000000000000002</v>
      </c>
      <c r="E10" s="51">
        <f t="shared" si="2"/>
        <v>5.3636363636363642</v>
      </c>
      <c r="F10" s="69">
        <f t="shared" si="3"/>
        <v>11.800000000000002</v>
      </c>
    </row>
    <row r="11" spans="1:7">
      <c r="A11" s="82" t="s">
        <v>347</v>
      </c>
      <c r="D11" s="51"/>
      <c r="E11" s="51"/>
      <c r="F11" s="69"/>
    </row>
    <row r="12" spans="1:7">
      <c r="A12" s="3" t="s">
        <v>1575</v>
      </c>
      <c r="B12" s="4" t="str">
        <f>VLOOKUP(A12,Insumos,2)</f>
        <v>cuadrilla tipo UOCRA</v>
      </c>
      <c r="C12" s="6" t="str">
        <f>VLOOKUP(A12,Insumos,3)</f>
        <v>h</v>
      </c>
      <c r="D12" s="51">
        <v>2.95</v>
      </c>
      <c r="E12" s="51">
        <f>VLOOKUP(A12,Insumos,4)</f>
        <v>64.12</v>
      </c>
      <c r="F12" s="69">
        <f>(D12*E12)</f>
        <v>189.15400000000002</v>
      </c>
    </row>
    <row r="13" spans="1:7">
      <c r="A13" s="82" t="s">
        <v>348</v>
      </c>
      <c r="D13" s="51"/>
      <c r="E13" s="51"/>
      <c r="F13" s="69"/>
    </row>
    <row r="14" spans="1:7">
      <c r="A14" s="3" t="s">
        <v>1576</v>
      </c>
      <c r="B14" s="4" t="str">
        <f>VLOOKUP(A14,Insumos,2)</f>
        <v>canasta 1 (camión volcador)</v>
      </c>
      <c r="C14" s="6" t="str">
        <f>VLOOKUP(A14,Insumos,3)</f>
        <v>h</v>
      </c>
      <c r="D14" s="51">
        <v>8.0000000000000002E-3</v>
      </c>
      <c r="E14" s="51">
        <f>VLOOKUP(A14,Insumos,4)</f>
        <v>557.08467748239605</v>
      </c>
      <c r="F14" s="69">
        <f>(D14*E14)</f>
        <v>4.4566774198591688</v>
      </c>
    </row>
    <row r="15" spans="1:7" ht="13.5" thickBot="1">
      <c r="D15" s="51"/>
    </row>
    <row r="16" spans="1:7" ht="13.5" thickTop="1">
      <c r="A16" s="75" t="s">
        <v>342</v>
      </c>
      <c r="B16" s="8" t="s">
        <v>1644</v>
      </c>
      <c r="C16" s="77" t="str">
        <f>Fecha</f>
        <v>Oct-14</v>
      </c>
      <c r="D16" s="48"/>
      <c r="E16" s="48"/>
      <c r="F16" s="67">
        <f>SUM(F18:F29)</f>
        <v>354.03851401203553</v>
      </c>
      <c r="G16" s="41"/>
    </row>
    <row r="17" spans="1:7" ht="13.5" thickBot="1">
      <c r="A17" s="7" t="s">
        <v>341</v>
      </c>
      <c r="B17" s="7" t="s">
        <v>1643</v>
      </c>
      <c r="C17" s="78" t="s">
        <v>340</v>
      </c>
      <c r="D17" s="49" t="s">
        <v>1686</v>
      </c>
      <c r="E17" s="50"/>
      <c r="F17" s="68"/>
      <c r="G17" s="42" t="s">
        <v>1876</v>
      </c>
    </row>
    <row r="18" spans="1:7" ht="13.5" thickTop="1">
      <c r="A18" s="82" t="s">
        <v>346</v>
      </c>
      <c r="D18" s="51"/>
      <c r="E18" s="51"/>
      <c r="F18" s="69"/>
    </row>
    <row r="19" spans="1:7">
      <c r="A19" s="3" t="s">
        <v>1578</v>
      </c>
      <c r="B19" s="4" t="str">
        <f t="shared" ref="B19:B25" si="4">VLOOKUP(A19,Insumos,2)</f>
        <v>cemento Portland</v>
      </c>
      <c r="C19" s="6" t="str">
        <f t="shared" ref="C19:C25" si="5">VLOOKUP(A19,Insumos,3)</f>
        <v>kg</v>
      </c>
      <c r="D19" s="51">
        <v>4</v>
      </c>
      <c r="E19" s="51">
        <f t="shared" ref="E19:E25" si="6">VLOOKUP(A19,Insumos,4)</f>
        <v>1.7372000000000001</v>
      </c>
      <c r="F19" s="69">
        <f t="shared" ref="F19:F25" si="7">(D19*E19)</f>
        <v>6.9488000000000003</v>
      </c>
    </row>
    <row r="20" spans="1:7">
      <c r="A20" s="3" t="s">
        <v>1585</v>
      </c>
      <c r="B20" s="4" t="str">
        <f t="shared" si="4"/>
        <v>cal hidratada en bolsa</v>
      </c>
      <c r="C20" s="6" t="str">
        <f t="shared" si="5"/>
        <v>kg</v>
      </c>
      <c r="D20" s="51">
        <v>1.1000000000000001</v>
      </c>
      <c r="E20" s="51">
        <f t="shared" si="6"/>
        <v>1.9256198347107438</v>
      </c>
      <c r="F20" s="69">
        <f t="shared" si="7"/>
        <v>2.1181818181818182</v>
      </c>
    </row>
    <row r="21" spans="1:7">
      <c r="A21" s="3" t="s">
        <v>145</v>
      </c>
      <c r="B21" s="4" t="str">
        <f t="shared" si="4"/>
        <v>madera 1" pino nacional s/cepillar</v>
      </c>
      <c r="C21" s="6" t="str">
        <f t="shared" si="5"/>
        <v>m2</v>
      </c>
      <c r="D21" s="51">
        <v>0.5</v>
      </c>
      <c r="E21" s="51">
        <f t="shared" si="6"/>
        <v>95.177685950413235</v>
      </c>
      <c r="F21" s="69">
        <f t="shared" si="7"/>
        <v>47.588842975206617</v>
      </c>
    </row>
    <row r="22" spans="1:7">
      <c r="A22" s="3" t="s">
        <v>1599</v>
      </c>
      <c r="B22" s="4" t="str">
        <f t="shared" si="4"/>
        <v>metal desplegado 0.75mx2.00m.</v>
      </c>
      <c r="C22" s="6" t="str">
        <f t="shared" si="5"/>
        <v>u</v>
      </c>
      <c r="D22" s="51">
        <v>1.31</v>
      </c>
      <c r="E22" s="51">
        <f t="shared" si="6"/>
        <v>21.480032000000005</v>
      </c>
      <c r="F22" s="69">
        <f t="shared" si="7"/>
        <v>28.138841920000008</v>
      </c>
    </row>
    <row r="23" spans="1:7">
      <c r="A23" s="3" t="s">
        <v>1580</v>
      </c>
      <c r="B23" s="4" t="str">
        <f t="shared" si="4"/>
        <v>arena gruesa</v>
      </c>
      <c r="C23" s="6" t="str">
        <f t="shared" si="5"/>
        <v>m3</v>
      </c>
      <c r="D23" s="51">
        <v>6.0000000000000001E-3</v>
      </c>
      <c r="E23" s="51">
        <f t="shared" si="6"/>
        <v>184.46464646464645</v>
      </c>
      <c r="F23" s="69">
        <f t="shared" si="7"/>
        <v>1.1067878787878787</v>
      </c>
    </row>
    <row r="24" spans="1:7">
      <c r="A24" s="3" t="s">
        <v>1589</v>
      </c>
      <c r="B24" s="4" t="str">
        <f t="shared" si="4"/>
        <v>yeso blanco</v>
      </c>
      <c r="C24" s="6" t="str">
        <f t="shared" si="5"/>
        <v>kg</v>
      </c>
      <c r="D24" s="51">
        <v>18</v>
      </c>
      <c r="E24" s="51">
        <f t="shared" si="6"/>
        <v>3.4847990000000002</v>
      </c>
      <c r="F24" s="69">
        <f t="shared" si="7"/>
        <v>62.726382000000001</v>
      </c>
    </row>
    <row r="25" spans="1:7">
      <c r="A25" s="3" t="s">
        <v>1700</v>
      </c>
      <c r="B25" s="4" t="str">
        <f t="shared" si="4"/>
        <v>listones pino 1x2"</v>
      </c>
      <c r="C25" s="6" t="str">
        <f t="shared" si="5"/>
        <v>m</v>
      </c>
      <c r="D25" s="51">
        <v>2.2000000000000002</v>
      </c>
      <c r="E25" s="51">
        <f t="shared" si="6"/>
        <v>5.3636363636363642</v>
      </c>
      <c r="F25" s="69">
        <f t="shared" si="7"/>
        <v>11.800000000000002</v>
      </c>
    </row>
    <row r="26" spans="1:7">
      <c r="A26" s="82" t="s">
        <v>347</v>
      </c>
      <c r="D26" s="51"/>
      <c r="E26" s="51"/>
      <c r="F26" s="69"/>
    </row>
    <row r="27" spans="1:7">
      <c r="A27" s="3" t="s">
        <v>1575</v>
      </c>
      <c r="B27" s="4" t="str">
        <f>VLOOKUP(A27,Insumos,2)</f>
        <v>cuadrilla tipo UOCRA</v>
      </c>
      <c r="C27" s="6" t="str">
        <f>VLOOKUP(A27,Insumos,3)</f>
        <v>h</v>
      </c>
      <c r="D27" s="51">
        <v>2.95</v>
      </c>
      <c r="E27" s="51">
        <f>VLOOKUP(A27,Insumos,4)</f>
        <v>64.12</v>
      </c>
      <c r="F27" s="69">
        <f>(D27*E27)</f>
        <v>189.15400000000002</v>
      </c>
    </row>
    <row r="28" spans="1:7">
      <c r="A28" s="82" t="s">
        <v>348</v>
      </c>
      <c r="D28" s="51"/>
      <c r="E28" s="51"/>
      <c r="F28" s="69"/>
    </row>
    <row r="29" spans="1:7">
      <c r="A29" s="3" t="s">
        <v>1576</v>
      </c>
      <c r="B29" s="4" t="str">
        <f>VLOOKUP(A29,Insumos,2)</f>
        <v>canasta 1 (camión volcador)</v>
      </c>
      <c r="C29" s="6" t="str">
        <f>VLOOKUP(A29,Insumos,3)</f>
        <v>h</v>
      </c>
      <c r="D29" s="51">
        <v>8.0000000000000002E-3</v>
      </c>
      <c r="E29" s="51">
        <f>VLOOKUP(A29,Insumos,4)</f>
        <v>557.08467748239605</v>
      </c>
      <c r="F29" s="69">
        <f>(D29*E29)</f>
        <v>4.4566774198591688</v>
      </c>
    </row>
    <row r="30" spans="1:7" ht="13.5" thickBot="1">
      <c r="C30" s="6"/>
      <c r="D30" s="51"/>
    </row>
    <row r="31" spans="1:7" ht="13.5" thickTop="1">
      <c r="A31" s="75" t="s">
        <v>342</v>
      </c>
      <c r="B31" s="8" t="s">
        <v>1645</v>
      </c>
      <c r="C31" s="77" t="str">
        <f>Fecha</f>
        <v>Oct-14</v>
      </c>
      <c r="D31" s="48"/>
      <c r="E31" s="48"/>
      <c r="F31" s="67">
        <f>SUM(F33:F38)</f>
        <v>294.49874353556163</v>
      </c>
      <c r="G31" s="41"/>
    </row>
    <row r="32" spans="1:7" ht="13.5" thickBot="1">
      <c r="A32" s="7" t="s">
        <v>341</v>
      </c>
      <c r="B32" s="7" t="s">
        <v>1643</v>
      </c>
      <c r="C32" s="78" t="s">
        <v>340</v>
      </c>
      <c r="D32" s="49" t="s">
        <v>1687</v>
      </c>
      <c r="E32" s="50"/>
      <c r="F32" s="68"/>
      <c r="G32" s="42" t="s">
        <v>1876</v>
      </c>
    </row>
    <row r="33" spans="1:7" ht="13.5" thickTop="1">
      <c r="A33" s="82" t="s">
        <v>346</v>
      </c>
      <c r="D33" s="51"/>
      <c r="E33" s="51"/>
      <c r="F33" s="69"/>
    </row>
    <row r="34" spans="1:7">
      <c r="A34" s="3" t="s">
        <v>145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1.7</v>
      </c>
      <c r="E34" s="51">
        <f>VLOOKUP(A34,Insumos,4)</f>
        <v>95.177685950413235</v>
      </c>
      <c r="F34" s="69">
        <f>(D34*E34)</f>
        <v>161.8020661157025</v>
      </c>
    </row>
    <row r="35" spans="1:7">
      <c r="A35" s="82" t="s">
        <v>347</v>
      </c>
      <c r="D35" s="51"/>
      <c r="E35" s="51"/>
      <c r="F35" s="69"/>
    </row>
    <row r="36" spans="1:7">
      <c r="A36" s="3" t="s">
        <v>1575</v>
      </c>
      <c r="B36" s="4" t="str">
        <f>VLOOKUP(A36,Insumos,2)</f>
        <v>cuadrilla tipo UOCRA</v>
      </c>
      <c r="C36" s="6" t="str">
        <f>VLOOKUP(A36,Insumos,3)</f>
        <v>h</v>
      </c>
      <c r="D36" s="51">
        <v>2</v>
      </c>
      <c r="E36" s="51">
        <f>VLOOKUP(A36,Insumos,4)</f>
        <v>64.12</v>
      </c>
      <c r="F36" s="69">
        <f>(D36*E36)</f>
        <v>128.24</v>
      </c>
    </row>
    <row r="37" spans="1:7">
      <c r="A37" s="82" t="s">
        <v>348</v>
      </c>
      <c r="D37" s="51"/>
      <c r="E37" s="51"/>
      <c r="F37" s="69"/>
    </row>
    <row r="38" spans="1:7">
      <c r="A38" s="3" t="s">
        <v>1576</v>
      </c>
      <c r="B38" s="4" t="str">
        <f>VLOOKUP(A38,Insumos,2)</f>
        <v>canasta 1 (camión volcador)</v>
      </c>
      <c r="C38" s="6" t="str">
        <f>VLOOKUP(A38,Insumos,3)</f>
        <v>h</v>
      </c>
      <c r="D38" s="51">
        <v>8.0000000000000002E-3</v>
      </c>
      <c r="E38" s="51">
        <f>VLOOKUP(A38,Insumos,4)</f>
        <v>557.08467748239605</v>
      </c>
      <c r="F38" s="69">
        <f>(D38*E38)</f>
        <v>4.4566774198591688</v>
      </c>
    </row>
    <row r="39" spans="1:7" ht="13.5" thickBot="1">
      <c r="D39" s="51"/>
    </row>
    <row r="40" spans="1:7" ht="13.5" thickTop="1">
      <c r="A40" s="75" t="s">
        <v>342</v>
      </c>
      <c r="B40" s="8" t="s">
        <v>1646</v>
      </c>
      <c r="C40" s="77" t="str">
        <f>Fecha</f>
        <v>Oct-14</v>
      </c>
      <c r="D40" s="48"/>
      <c r="E40" s="48"/>
      <c r="F40" s="67">
        <f>SUM(F42:F48)</f>
        <v>319.09768555127641</v>
      </c>
      <c r="G40" s="41"/>
    </row>
    <row r="41" spans="1:7" ht="13.5" thickBot="1">
      <c r="A41" s="7" t="s">
        <v>341</v>
      </c>
      <c r="B41" s="7" t="s">
        <v>1643</v>
      </c>
      <c r="C41" s="78" t="s">
        <v>340</v>
      </c>
      <c r="D41" s="49" t="s">
        <v>1688</v>
      </c>
      <c r="E41" s="50"/>
      <c r="F41" s="68"/>
      <c r="G41" s="42" t="s">
        <v>1876</v>
      </c>
    </row>
    <row r="42" spans="1:7" ht="13.5" thickTop="1">
      <c r="A42" s="82" t="s">
        <v>346</v>
      </c>
      <c r="D42" s="51"/>
      <c r="E42" s="51"/>
      <c r="F42" s="69"/>
    </row>
    <row r="43" spans="1:7">
      <c r="A43" s="3" t="s">
        <v>173</v>
      </c>
      <c r="B43" s="4" t="str">
        <f>VLOOKUP(A43,Insumos,2)</f>
        <v>Perfil chapa galv. Solera de 35 mm x 2,60 m (para cielorraso)</v>
      </c>
      <c r="C43" s="6" t="str">
        <f>VLOOKUP(A43,Insumos,3)</f>
        <v>u</v>
      </c>
      <c r="D43" s="51">
        <v>4.7</v>
      </c>
      <c r="E43" s="51">
        <f>VLOOKUP(A43,Insumos,4)</f>
        <v>23.859504132231407</v>
      </c>
      <c r="F43" s="69">
        <f>(D43*E43)</f>
        <v>112.13966942148762</v>
      </c>
    </row>
    <row r="44" spans="1:7">
      <c r="A44" s="3" t="s">
        <v>77</v>
      </c>
      <c r="B44" s="4" t="str">
        <f>VLOOKUP(A44,Insumos,2)</f>
        <v>placa durlock 1.20mx2.40m  9,5mm</v>
      </c>
      <c r="C44" s="6" t="str">
        <f>VLOOKUP(A44,Insumos,3)</f>
        <v>u</v>
      </c>
      <c r="D44" s="51">
        <v>1.1000000000000001</v>
      </c>
      <c r="E44" s="51">
        <f>VLOOKUP(A44,Insumos,4)</f>
        <v>94.63</v>
      </c>
      <c r="F44" s="69">
        <f>(D44*E44)</f>
        <v>104.093</v>
      </c>
    </row>
    <row r="45" spans="1:7">
      <c r="A45" s="82" t="s">
        <v>347</v>
      </c>
      <c r="D45" s="51"/>
      <c r="E45" s="51"/>
      <c r="F45" s="69"/>
    </row>
    <row r="46" spans="1:7">
      <c r="A46" s="3" t="s">
        <v>1575</v>
      </c>
      <c r="B46" s="4" t="str">
        <f>VLOOKUP(A46,Insumos,2)</f>
        <v>cuadrilla tipo UOCRA</v>
      </c>
      <c r="C46" s="6" t="str">
        <f>VLOOKUP(A46,Insumos,3)</f>
        <v>h</v>
      </c>
      <c r="D46" s="51">
        <v>1.5</v>
      </c>
      <c r="E46" s="51">
        <f>VLOOKUP(A46,Insumos,4)</f>
        <v>64.12</v>
      </c>
      <c r="F46" s="69">
        <f>(D46*E46)</f>
        <v>96.18</v>
      </c>
    </row>
    <row r="47" spans="1:7">
      <c r="A47" s="82" t="s">
        <v>348</v>
      </c>
      <c r="D47" s="51"/>
      <c r="E47" s="51"/>
      <c r="F47" s="69"/>
    </row>
    <row r="48" spans="1:7">
      <c r="A48" s="3" t="s">
        <v>1576</v>
      </c>
      <c r="B48" s="4" t="str">
        <f>VLOOKUP(A48,Insumos,2)</f>
        <v>canasta 1 (camión volcador)</v>
      </c>
      <c r="C48" s="6" t="str">
        <f>VLOOKUP(A48,Insumos,3)</f>
        <v>h</v>
      </c>
      <c r="D48" s="51">
        <v>1.2E-2</v>
      </c>
      <c r="E48" s="51">
        <f>VLOOKUP(A48,Insumos,4)</f>
        <v>557.08467748239605</v>
      </c>
      <c r="F48" s="69">
        <f>(D48*E48)</f>
        <v>6.6850161297887523</v>
      </c>
    </row>
    <row r="49" spans="1:7" ht="13.5" thickBot="1">
      <c r="D49" s="51"/>
    </row>
    <row r="50" spans="1:7" ht="13.5" thickTop="1">
      <c r="A50" s="75" t="s">
        <v>342</v>
      </c>
      <c r="B50" s="8" t="s">
        <v>1647</v>
      </c>
      <c r="C50" s="77" t="str">
        <f>Fecha</f>
        <v>Oct-14</v>
      </c>
      <c r="D50" s="48"/>
      <c r="E50" s="48"/>
      <c r="F50" s="67">
        <f>SUM(F52:F59)</f>
        <v>140.67726900373603</v>
      </c>
      <c r="G50" s="41"/>
    </row>
    <row r="51" spans="1:7" ht="13.5" thickBot="1">
      <c r="A51" s="7" t="s">
        <v>341</v>
      </c>
      <c r="B51" s="7" t="s">
        <v>1643</v>
      </c>
      <c r="C51" s="78" t="s">
        <v>340</v>
      </c>
      <c r="D51" s="49" t="s">
        <v>1689</v>
      </c>
      <c r="E51" s="50"/>
      <c r="F51" s="68"/>
      <c r="G51" s="42" t="s">
        <v>1876</v>
      </c>
    </row>
    <row r="52" spans="1:7" ht="13.5" thickTop="1">
      <c r="A52" s="82" t="s">
        <v>346</v>
      </c>
      <c r="D52" s="51"/>
      <c r="E52" s="51"/>
      <c r="F52" s="69"/>
    </row>
    <row r="53" spans="1:7">
      <c r="A53" s="3" t="s">
        <v>1578</v>
      </c>
      <c r="B53" s="4" t="str">
        <f>VLOOKUP(A53,Insumos,2)</f>
        <v>cemento Portland</v>
      </c>
      <c r="C53" s="6" t="str">
        <f>VLOOKUP(A53,Insumos,3)</f>
        <v>kg</v>
      </c>
      <c r="D53" s="51">
        <v>6</v>
      </c>
      <c r="E53" s="51">
        <f>VLOOKUP(A53,Insumos,4)</f>
        <v>1.7372000000000001</v>
      </c>
      <c r="F53" s="69">
        <f>(D53*E53)</f>
        <v>10.423200000000001</v>
      </c>
    </row>
    <row r="54" spans="1:7">
      <c r="A54" s="3" t="s">
        <v>1585</v>
      </c>
      <c r="B54" s="4" t="str">
        <f>VLOOKUP(A54,Insumos,2)</f>
        <v>cal hidratada en bolsa</v>
      </c>
      <c r="C54" s="6" t="str">
        <f>VLOOKUP(A54,Insumos,3)</f>
        <v>kg</v>
      </c>
      <c r="D54" s="51">
        <v>4</v>
      </c>
      <c r="E54" s="51">
        <f>VLOOKUP(A54,Insumos,4)</f>
        <v>1.9256198347107438</v>
      </c>
      <c r="F54" s="69">
        <f>(D54*E54)</f>
        <v>7.7024793388429753</v>
      </c>
    </row>
    <row r="55" spans="1:7">
      <c r="A55" s="3" t="s">
        <v>1580</v>
      </c>
      <c r="B55" s="4" t="str">
        <f>VLOOKUP(A55,Insumos,2)</f>
        <v>arena gruesa</v>
      </c>
      <c r="C55" s="6" t="str">
        <f>VLOOKUP(A55,Insumos,3)</f>
        <v>m3</v>
      </c>
      <c r="D55" s="51">
        <v>2.5000000000000001E-2</v>
      </c>
      <c r="E55" s="51">
        <f>VLOOKUP(A55,Insumos,4)</f>
        <v>184.46464646464645</v>
      </c>
      <c r="F55" s="69">
        <f>(D55*E55)</f>
        <v>4.6116161616161611</v>
      </c>
    </row>
    <row r="56" spans="1:7">
      <c r="A56" s="82" t="s">
        <v>347</v>
      </c>
      <c r="C56" s="6"/>
      <c r="D56" s="51"/>
      <c r="E56" s="51"/>
      <c r="F56" s="69"/>
    </row>
    <row r="57" spans="1:7">
      <c r="A57" s="3" t="s">
        <v>1575</v>
      </c>
      <c r="B57" s="4" t="str">
        <f>VLOOKUP(A57,Insumos,2)</f>
        <v>cuadrilla tipo UOCRA</v>
      </c>
      <c r="C57" s="6" t="str">
        <f>VLOOKUP(A57,Insumos,3)</f>
        <v>h</v>
      </c>
      <c r="D57" s="51">
        <v>1.82</v>
      </c>
      <c r="E57" s="51">
        <f>VLOOKUP(A57,Insumos,4)</f>
        <v>64.12</v>
      </c>
      <c r="F57" s="69">
        <f>(D57*E57)</f>
        <v>116.69840000000001</v>
      </c>
    </row>
    <row r="58" spans="1:7">
      <c r="A58" s="82" t="s">
        <v>348</v>
      </c>
      <c r="D58" s="51"/>
      <c r="E58" s="51"/>
      <c r="F58" s="69"/>
    </row>
    <row r="59" spans="1:7">
      <c r="A59" s="3" t="s">
        <v>1581</v>
      </c>
      <c r="B59" s="4" t="str">
        <f>VLOOKUP(A59,Insumos,2)</f>
        <v>canasta 2 (mixer 5m3)</v>
      </c>
      <c r="C59" s="6" t="str">
        <f>VLOOKUP(A59,Insumos,3)</f>
        <v>h</v>
      </c>
      <c r="D59" s="51">
        <v>1.5E-3</v>
      </c>
      <c r="E59" s="51">
        <f>VLOOKUP(A59,Insumos,4)</f>
        <v>827.71566885125844</v>
      </c>
      <c r="F59" s="69">
        <f>(D59*E59)</f>
        <v>1.2415735032768878</v>
      </c>
    </row>
    <row r="60" spans="1:7" ht="13.5" thickBot="1">
      <c r="D60" s="51"/>
    </row>
    <row r="61" spans="1:7" ht="13.5" thickTop="1">
      <c r="A61" s="75" t="s">
        <v>342</v>
      </c>
      <c r="B61" s="8" t="s">
        <v>193</v>
      </c>
      <c r="C61" s="77" t="str">
        <f>Fecha</f>
        <v>Oct-14</v>
      </c>
      <c r="D61" s="48"/>
      <c r="E61" s="48"/>
      <c r="F61" s="67">
        <f>SUM(F63:F68)</f>
        <v>192.78735647147278</v>
      </c>
      <c r="G61" s="41"/>
    </row>
    <row r="62" spans="1:7" ht="13.5" thickBot="1">
      <c r="A62" s="7" t="s">
        <v>341</v>
      </c>
      <c r="B62" s="7" t="s">
        <v>1643</v>
      </c>
      <c r="C62" s="78" t="s">
        <v>340</v>
      </c>
      <c r="D62" s="49" t="s">
        <v>1690</v>
      </c>
      <c r="E62" s="50"/>
      <c r="F62" s="68"/>
      <c r="G62" s="42" t="s">
        <v>1876</v>
      </c>
    </row>
    <row r="63" spans="1:7" ht="13.5" thickTop="1">
      <c r="A63" s="82" t="s">
        <v>346</v>
      </c>
      <c r="D63" s="51"/>
      <c r="E63" s="51"/>
      <c r="F63" s="69"/>
    </row>
    <row r="64" spans="1:7">
      <c r="A64" s="3" t="s">
        <v>1589</v>
      </c>
      <c r="B64" s="4" t="str">
        <f>VLOOKUP(A64,Insumos,2)</f>
        <v>yeso blanco</v>
      </c>
      <c r="C64" s="6" t="str">
        <f>VLOOKUP(A64,Insumos,3)</f>
        <v>kg</v>
      </c>
      <c r="D64" s="51">
        <v>18</v>
      </c>
      <c r="E64" s="51">
        <f>VLOOKUP(A64,Insumos,4)</f>
        <v>3.4847990000000002</v>
      </c>
      <c r="F64" s="69">
        <f>(D64*E64)</f>
        <v>62.726382000000001</v>
      </c>
    </row>
    <row r="65" spans="1:7">
      <c r="A65" s="82" t="s">
        <v>347</v>
      </c>
      <c r="C65" s="6"/>
      <c r="D65" s="51"/>
      <c r="E65" s="51"/>
      <c r="F65" s="69"/>
    </row>
    <row r="66" spans="1:7">
      <c r="A66" s="3" t="s">
        <v>1575</v>
      </c>
      <c r="B66" s="4" t="str">
        <f>VLOOKUP(A66,Insumos,2)</f>
        <v>cuadrilla tipo UOCRA</v>
      </c>
      <c r="C66" s="6" t="str">
        <f>VLOOKUP(A66,Insumos,3)</f>
        <v>h</v>
      </c>
      <c r="D66" s="51">
        <v>2</v>
      </c>
      <c r="E66" s="51">
        <f>VLOOKUP(A66,Insumos,4)</f>
        <v>64.12</v>
      </c>
      <c r="F66" s="69">
        <f>(D66*E66)</f>
        <v>128.24</v>
      </c>
    </row>
    <row r="67" spans="1:7">
      <c r="A67" s="82" t="s">
        <v>348</v>
      </c>
      <c r="D67" s="51"/>
      <c r="E67" s="51"/>
      <c r="F67" s="69"/>
    </row>
    <row r="68" spans="1:7">
      <c r="A68" s="3" t="s">
        <v>1581</v>
      </c>
      <c r="B68" s="4" t="str">
        <f>VLOOKUP(A68,Insumos,2)</f>
        <v>canasta 2 (mixer 5m3)</v>
      </c>
      <c r="C68" s="6" t="str">
        <f>VLOOKUP(A68,Insumos,3)</f>
        <v>h</v>
      </c>
      <c r="D68" s="51">
        <v>2.2000000000000001E-3</v>
      </c>
      <c r="E68" s="51">
        <f>VLOOKUP(A68,Insumos,4)</f>
        <v>827.71566885125844</v>
      </c>
      <c r="F68" s="69">
        <f>(D68*E68)</f>
        <v>1.8209744714727687</v>
      </c>
    </row>
    <row r="69" spans="1:7" ht="13.5" thickBot="1"/>
    <row r="70" spans="1:7" ht="13.5" thickTop="1">
      <c r="A70" s="75" t="s">
        <v>342</v>
      </c>
      <c r="B70" s="8" t="s">
        <v>1646</v>
      </c>
      <c r="C70" s="77" t="str">
        <f>Fecha</f>
        <v>Oct-14</v>
      </c>
      <c r="D70" s="48"/>
      <c r="E70" s="48"/>
      <c r="F70" s="67">
        <f>SUM(F72:F78)</f>
        <v>290.84968555127642</v>
      </c>
      <c r="G70" s="41"/>
    </row>
    <row r="71" spans="1:7" ht="13.5" thickBot="1">
      <c r="A71" s="7" t="s">
        <v>341</v>
      </c>
      <c r="B71" s="7" t="s">
        <v>1643</v>
      </c>
      <c r="C71" s="78" t="s">
        <v>340</v>
      </c>
      <c r="D71" s="49" t="s">
        <v>388</v>
      </c>
      <c r="E71" s="50"/>
      <c r="F71" s="68"/>
      <c r="G71" s="42" t="s">
        <v>1876</v>
      </c>
    </row>
    <row r="72" spans="1:7" ht="13.5" thickTop="1">
      <c r="A72" s="82" t="s">
        <v>346</v>
      </c>
      <c r="D72" s="51"/>
      <c r="E72" s="51"/>
      <c r="F72" s="69"/>
    </row>
    <row r="73" spans="1:7">
      <c r="A73" s="3" t="s">
        <v>173</v>
      </c>
      <c r="B73" s="4" t="str">
        <f>VLOOKUP(A73,Insumos,2)</f>
        <v>Perfil chapa galv. Solera de 35 mm x 2,60 m (para cielorraso)</v>
      </c>
      <c r="C73" s="6" t="str">
        <f>VLOOKUP(A73,Insumos,3)</f>
        <v>u</v>
      </c>
      <c r="D73" s="51">
        <v>4.7</v>
      </c>
      <c r="E73" s="51">
        <f>VLOOKUP(A73,Insumos,4)</f>
        <v>23.859504132231407</v>
      </c>
      <c r="F73" s="69">
        <f>(D73*E73)</f>
        <v>112.13966942148762</v>
      </c>
    </row>
    <row r="74" spans="1:7">
      <c r="A74" s="3" t="s">
        <v>389</v>
      </c>
      <c r="B74" s="4" t="str">
        <f>VLOOKUP(A74,Insumos,2)</f>
        <v>placa spanacustic c/fibra vidrio 25 mm (1,22 x 0,61m)</v>
      </c>
      <c r="C74" s="6" t="str">
        <f>VLOOKUP(A74,Insumos,3)</f>
        <v>u</v>
      </c>
      <c r="D74" s="51">
        <v>1.1000000000000001</v>
      </c>
      <c r="E74" s="51">
        <f>VLOOKUP(A74,Insumos,4)</f>
        <v>68.95</v>
      </c>
      <c r="F74" s="69">
        <f>(D74*E74)</f>
        <v>75.845000000000013</v>
      </c>
    </row>
    <row r="75" spans="1:7">
      <c r="A75" s="82" t="s">
        <v>347</v>
      </c>
      <c r="D75" s="51"/>
      <c r="E75" s="51"/>
      <c r="F75" s="69"/>
    </row>
    <row r="76" spans="1:7">
      <c r="A76" s="3" t="s">
        <v>1575</v>
      </c>
      <c r="B76" s="4" t="str">
        <f>VLOOKUP(A76,Insumos,2)</f>
        <v>cuadrilla tipo UOCRA</v>
      </c>
      <c r="C76" s="6" t="str">
        <f>VLOOKUP(A76,Insumos,3)</f>
        <v>h</v>
      </c>
      <c r="D76" s="51">
        <v>1.5</v>
      </c>
      <c r="E76" s="51">
        <f>VLOOKUP(A76,Insumos,4)</f>
        <v>64.12</v>
      </c>
      <c r="F76" s="69">
        <f>(D76*E76)</f>
        <v>96.18</v>
      </c>
    </row>
    <row r="77" spans="1:7">
      <c r="A77" s="82" t="s">
        <v>348</v>
      </c>
      <c r="D77" s="51"/>
      <c r="E77" s="51"/>
      <c r="F77" s="69"/>
    </row>
    <row r="78" spans="1:7">
      <c r="A78" s="3" t="s">
        <v>1576</v>
      </c>
      <c r="B78" s="4" t="str">
        <f>VLOOKUP(A78,Insumos,2)</f>
        <v>canasta 1 (camión volcador)</v>
      </c>
      <c r="C78" s="6" t="str">
        <f>VLOOKUP(A78,Insumos,3)</f>
        <v>h</v>
      </c>
      <c r="D78" s="51">
        <v>1.2E-2</v>
      </c>
      <c r="E78" s="51">
        <f>VLOOKUP(A78,Insumos,4)</f>
        <v>557.08467748239605</v>
      </c>
      <c r="F78" s="69">
        <f>(D78*E78)</f>
        <v>6.6850161297887523</v>
      </c>
    </row>
  </sheetData>
  <sheetProtection password="C6AE" sheet="1" objects="1" scenarios="1"/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B1" sqref="B1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2">
    <tabColor indexed="10"/>
  </sheetPr>
  <dimension ref="A1:G20"/>
  <sheetViews>
    <sheetView showGridLines="0" zoomScale="90" zoomScaleNormal="75" zoomScaleSheetLayoutView="75" workbookViewId="0">
      <selection activeCell="A17" sqref="A17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/>
    <row r="2" spans="1:7" ht="13.5" thickTop="1">
      <c r="A2" s="75" t="s">
        <v>342</v>
      </c>
      <c r="B2" s="218" t="s">
        <v>1648</v>
      </c>
      <c r="C2" s="77" t="str">
        <f>Fecha</f>
        <v>Oct-14</v>
      </c>
      <c r="D2" s="48"/>
      <c r="E2" s="48"/>
      <c r="F2" s="219">
        <f>SUM(F4:F9)</f>
        <v>37.172115668851269</v>
      </c>
      <c r="G2" s="41"/>
    </row>
    <row r="3" spans="1:7" ht="13.5" thickBot="1">
      <c r="A3" s="7" t="s">
        <v>341</v>
      </c>
      <c r="B3" s="7" t="s">
        <v>1649</v>
      </c>
      <c r="C3" s="78" t="s">
        <v>340</v>
      </c>
      <c r="D3" s="49" t="s">
        <v>176</v>
      </c>
      <c r="E3" s="50"/>
      <c r="F3" s="68"/>
      <c r="G3" s="42" t="s">
        <v>1876</v>
      </c>
    </row>
    <row r="4" spans="1:7" ht="13.5" thickTop="1">
      <c r="A4" s="82" t="s">
        <v>346</v>
      </c>
      <c r="D4" s="51"/>
      <c r="E4" s="51"/>
      <c r="F4" s="69"/>
    </row>
    <row r="5" spans="1:7">
      <c r="A5" s="3" t="s">
        <v>1600</v>
      </c>
      <c r="B5" s="4" t="str">
        <f>VLOOKUP(A5,Insumos,2)</f>
        <v>salpicado plástico blanco tipo Igam</v>
      </c>
      <c r="C5" s="6" t="str">
        <f>VLOOKUP(A5,Insumos,3)</f>
        <v>kg</v>
      </c>
      <c r="D5" s="51">
        <v>2</v>
      </c>
      <c r="E5" s="51">
        <f>VLOOKUP(A5,'IN-10-14'!A6:D880,4)</f>
        <v>8.5542000000000016</v>
      </c>
      <c r="F5" s="69">
        <f>(D5*E5)</f>
        <v>17.108400000000003</v>
      </c>
    </row>
    <row r="6" spans="1:7">
      <c r="A6" s="82" t="s">
        <v>347</v>
      </c>
      <c r="D6" s="51"/>
      <c r="E6" s="51"/>
      <c r="F6" s="69"/>
    </row>
    <row r="7" spans="1:7">
      <c r="A7" s="3" t="s">
        <v>1575</v>
      </c>
      <c r="B7" s="4" t="str">
        <f>VLOOKUP(A7,Insumos,2)</f>
        <v>cuadrilla tipo UOCRA</v>
      </c>
      <c r="C7" s="6" t="str">
        <f>VLOOKUP(A7,Insumos,3)</f>
        <v>h</v>
      </c>
      <c r="D7" s="51">
        <v>0.3</v>
      </c>
      <c r="E7" s="51">
        <f>VLOOKUP(A7,'IN-10-14'!A8:D882,4)</f>
        <v>64.12</v>
      </c>
      <c r="F7" s="69">
        <f>(D7*E7)</f>
        <v>19.236000000000001</v>
      </c>
    </row>
    <row r="8" spans="1:7">
      <c r="A8" s="82" t="s">
        <v>348</v>
      </c>
      <c r="D8" s="51"/>
      <c r="E8" s="51"/>
      <c r="F8" s="69"/>
    </row>
    <row r="9" spans="1:7">
      <c r="A9" s="3" t="s">
        <v>1581</v>
      </c>
      <c r="B9" s="4" t="str">
        <f>VLOOKUP(A9,Insumos,2)</f>
        <v>canasta 2 (mixer 5m3)</v>
      </c>
      <c r="C9" s="6" t="str">
        <f>VLOOKUP(A9,Insumos,3)</f>
        <v>h</v>
      </c>
      <c r="D9" s="51">
        <v>1E-3</v>
      </c>
      <c r="E9" s="51">
        <f>VLOOKUP(A9,'IN-10-14'!A10:D884,4)</f>
        <v>827.71566885125844</v>
      </c>
      <c r="F9" s="69">
        <f>(D9*E9)</f>
        <v>0.82771566885125847</v>
      </c>
    </row>
    <row r="10" spans="1:7" ht="13.5" thickBot="1">
      <c r="C10" s="78"/>
    </row>
    <row r="11" spans="1:7" ht="13.5" thickTop="1">
      <c r="A11" s="75" t="s">
        <v>342</v>
      </c>
      <c r="B11" s="218" t="s">
        <v>1650</v>
      </c>
      <c r="C11" s="77" t="str">
        <f>Fecha</f>
        <v>Oct-14</v>
      </c>
      <c r="D11" s="48"/>
      <c r="E11" s="48"/>
      <c r="F11" s="219">
        <f>SUM(F13:F20)</f>
        <v>175.09020752212814</v>
      </c>
      <c r="G11" s="41"/>
    </row>
    <row r="12" spans="1:7" ht="13.5" thickBot="1">
      <c r="A12" s="7" t="s">
        <v>341</v>
      </c>
      <c r="B12" s="7" t="s">
        <v>1649</v>
      </c>
      <c r="C12" s="78" t="s">
        <v>340</v>
      </c>
      <c r="D12" s="49" t="s">
        <v>1691</v>
      </c>
      <c r="E12" s="50"/>
      <c r="F12" s="68"/>
      <c r="G12" s="42" t="s">
        <v>1876</v>
      </c>
    </row>
    <row r="13" spans="1:7" ht="13.5" thickTop="1">
      <c r="A13" s="82" t="s">
        <v>346</v>
      </c>
      <c r="D13" s="51"/>
      <c r="E13" s="51"/>
      <c r="F13" s="69"/>
    </row>
    <row r="14" spans="1:7">
      <c r="A14" s="3" t="s">
        <v>1707</v>
      </c>
      <c r="B14" s="4" t="str">
        <f>VLOOKUP(A14,Insumos,2)</f>
        <v>cemento blanco</v>
      </c>
      <c r="C14" s="6" t="str">
        <f>VLOOKUP(A14,Insumos,3)</f>
        <v>bolsa</v>
      </c>
      <c r="D14" s="51">
        <v>0.01</v>
      </c>
      <c r="E14" s="51">
        <f>VLOOKUP(A14,'IN-10-14'!A15:D889,4)</f>
        <v>82.651835000000005</v>
      </c>
      <c r="F14" s="69">
        <f>(D14*E14)</f>
        <v>0.82651835000000007</v>
      </c>
    </row>
    <row r="15" spans="1:7">
      <c r="A15" s="3" t="s">
        <v>1592</v>
      </c>
      <c r="B15" s="4" t="str">
        <f>VLOOKUP(A15,Insumos,2)</f>
        <v>adhesivo p/piso cerámico</v>
      </c>
      <c r="C15" s="6" t="str">
        <f>VLOOKUP(A15,Insumos,3)</f>
        <v>kg</v>
      </c>
      <c r="D15" s="51">
        <v>3.5</v>
      </c>
      <c r="E15" s="51">
        <f>VLOOKUP(A15,'IN-10-14'!A16:D890,4)</f>
        <v>2.36</v>
      </c>
      <c r="F15" s="69">
        <f>(D15*E15)</f>
        <v>8.26</v>
      </c>
    </row>
    <row r="16" spans="1:7">
      <c r="A16" s="229" t="s">
        <v>517</v>
      </c>
      <c r="B16" s="4" t="str">
        <f>VLOOKUP(A16,Insumos,2)</f>
        <v>azulejo 15x15 blanco</v>
      </c>
      <c r="C16" s="6" t="str">
        <f>VLOOKUP(A16,Insumos,3)</f>
        <v>m2</v>
      </c>
      <c r="D16" s="51">
        <v>1.05</v>
      </c>
      <c r="E16" s="51">
        <f>VLOOKUP(A16,'IN-10-14'!A17:D891,4)</f>
        <v>64.527999999999992</v>
      </c>
      <c r="F16" s="69">
        <f>(D16*E16)</f>
        <v>67.75439999999999</v>
      </c>
    </row>
    <row r="17" spans="1:6">
      <c r="A17" s="82" t="s">
        <v>347</v>
      </c>
      <c r="D17" s="51"/>
      <c r="E17" s="51"/>
      <c r="F17" s="69"/>
    </row>
    <row r="18" spans="1:6">
      <c r="A18" s="3" t="s">
        <v>1575</v>
      </c>
      <c r="B18" s="4" t="str">
        <f>VLOOKUP(A18,Insumos,2)</f>
        <v>cuadrilla tipo UOCRA</v>
      </c>
      <c r="C18" s="6" t="str">
        <f>VLOOKUP(A18,Insumos,3)</f>
        <v>h</v>
      </c>
      <c r="D18" s="51">
        <v>1.5</v>
      </c>
      <c r="E18" s="51">
        <f>VLOOKUP(A18,'IN-10-14'!A19:D893,4)</f>
        <v>64.12</v>
      </c>
      <c r="F18" s="69">
        <f>(D18*E18)</f>
        <v>96.18</v>
      </c>
    </row>
    <row r="19" spans="1:6">
      <c r="A19" s="82" t="s">
        <v>348</v>
      </c>
      <c r="D19" s="51"/>
      <c r="E19" s="51"/>
      <c r="F19" s="69"/>
    </row>
    <row r="20" spans="1:6">
      <c r="A20" s="3" t="s">
        <v>1581</v>
      </c>
      <c r="B20" s="4" t="str">
        <f>VLOOKUP(A20,Insumos,2)</f>
        <v>canasta 2 (mixer 5m3)</v>
      </c>
      <c r="C20" s="6" t="str">
        <f>VLOOKUP(A20,Insumos,3)</f>
        <v>h</v>
      </c>
      <c r="D20" s="51">
        <v>2.5000000000000001E-3</v>
      </c>
      <c r="E20" s="51">
        <f>VLOOKUP(A20,'IN-10-14'!A21:D895,4)</f>
        <v>827.71566885125844</v>
      </c>
      <c r="F20" s="69">
        <f>(D20*E20)</f>
        <v>2.0692891721281463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E1" sqref="E1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syncVertical="1" syncRef="A16" transitionEvaluation="1" codeName="Hoja13">
    <tabColor indexed="12"/>
  </sheetPr>
  <dimension ref="A1:G64"/>
  <sheetViews>
    <sheetView showGridLines="0" topLeftCell="A16" zoomScale="90" zoomScaleNormal="75" zoomScaleSheetLayoutView="75" workbookViewId="0">
      <selection activeCell="F38" sqref="F38:F39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1" style="66" bestFit="1" customWidth="1"/>
    <col min="7" max="7" width="3.5546875" style="5" customWidth="1"/>
    <col min="8" max="16384" width="9.77734375" style="1"/>
  </cols>
  <sheetData>
    <row r="1" spans="1:7" ht="13.5" thickBot="1"/>
    <row r="2" spans="1:7" ht="13.5" thickTop="1">
      <c r="A2" s="75" t="s">
        <v>342</v>
      </c>
      <c r="B2" s="218" t="s">
        <v>1651</v>
      </c>
      <c r="C2" s="77" t="str">
        <f>Fecha</f>
        <v>Oct-14</v>
      </c>
      <c r="D2" s="48"/>
      <c r="E2" s="48"/>
      <c r="F2" s="219">
        <f>SUM(F4:F12)</f>
        <v>14948.744391928334</v>
      </c>
      <c r="G2" s="41"/>
    </row>
    <row r="3" spans="1:7" ht="13.5" thickBot="1">
      <c r="A3" s="7" t="s">
        <v>341</v>
      </c>
      <c r="B3" s="7" t="s">
        <v>1652</v>
      </c>
      <c r="C3" s="78" t="s">
        <v>340</v>
      </c>
      <c r="D3" s="49" t="s">
        <v>1692</v>
      </c>
      <c r="E3" s="50"/>
      <c r="F3" s="68"/>
      <c r="G3" s="42" t="s">
        <v>343</v>
      </c>
    </row>
    <row r="4" spans="1:7" ht="13.5" thickTop="1">
      <c r="A4" s="82" t="s">
        <v>346</v>
      </c>
      <c r="D4" s="51"/>
      <c r="E4" s="51"/>
      <c r="F4" s="69"/>
    </row>
    <row r="5" spans="1:7">
      <c r="A5" s="3" t="s">
        <v>1601</v>
      </c>
      <c r="B5" s="4" t="str">
        <f>VLOOKUP(A5,Insumos,2)</f>
        <v>puerta tablero 0.90 x 2.00 cedro</v>
      </c>
      <c r="C5" s="6" t="str">
        <f>VLOOKUP(A5,Insumos,3)</f>
        <v>u</v>
      </c>
      <c r="D5" s="51">
        <v>1</v>
      </c>
      <c r="E5" s="51">
        <f>VLOOKUP(A5,'IN-10-14'!A6:D880,4)</f>
        <v>2647.3774104683198</v>
      </c>
      <c r="F5" s="69">
        <f>(D5*E5)</f>
        <v>2647.3774104683198</v>
      </c>
    </row>
    <row r="6" spans="1:7">
      <c r="A6" s="3" t="s">
        <v>1602</v>
      </c>
      <c r="B6" s="4" t="str">
        <f>VLOOKUP(A6,Insumos,2)</f>
        <v>puerta placa 0,70 x 2,00</v>
      </c>
      <c r="C6" s="6" t="str">
        <f>VLOOKUP(A6,Insumos,3)</f>
        <v>u</v>
      </c>
      <c r="D6" s="51">
        <v>4</v>
      </c>
      <c r="E6" s="51">
        <f>VLOOKUP(A6,'IN-10-14'!A7:D881,4)</f>
        <v>708.2644628099174</v>
      </c>
      <c r="F6" s="69">
        <f>(D6*E6)</f>
        <v>2833.0578512396696</v>
      </c>
    </row>
    <row r="7" spans="1:7">
      <c r="A7" s="3" t="s">
        <v>1310</v>
      </c>
      <c r="B7" s="4" t="str">
        <f>VLOOKUP(A7,Insumos,2)</f>
        <v>ventana 2 H. abrir c/mco.met. 1,20x1,10</v>
      </c>
      <c r="C7" s="6" t="str">
        <f>VLOOKUP(A7,Insumos,3)</f>
        <v>u</v>
      </c>
      <c r="D7" s="51">
        <v>6.5</v>
      </c>
      <c r="E7" s="51">
        <f>VLOOKUP(A7,'IN-10-14'!A8:D882,4)</f>
        <v>958.93946239216734</v>
      </c>
      <c r="F7" s="69">
        <f>(D7*E7)</f>
        <v>6233.1065055490881</v>
      </c>
    </row>
    <row r="8" spans="1:7">
      <c r="A8" s="3" t="s">
        <v>50</v>
      </c>
      <c r="B8" s="4" t="str">
        <f>VLOOKUP(A8,Insumos,2)</f>
        <v xml:space="preserve">cerradura de seguridad </v>
      </c>
      <c r="C8" s="6" t="str">
        <f>VLOOKUP(A8,Insumos,3)</f>
        <v>u</v>
      </c>
      <c r="D8" s="51">
        <v>3.798</v>
      </c>
      <c r="E8" s="51">
        <f>VLOOKUP(A8,'IN-10-14'!A9:D883,4)</f>
        <v>122.27272727272728</v>
      </c>
      <c r="F8" s="69">
        <f>(D8*E8)</f>
        <v>464.39181818181822</v>
      </c>
    </row>
    <row r="9" spans="1:7">
      <c r="A9" s="82" t="s">
        <v>347</v>
      </c>
      <c r="D9" s="51"/>
      <c r="E9" s="51"/>
      <c r="F9" s="69"/>
    </row>
    <row r="10" spans="1:7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v>38</v>
      </c>
      <c r="E10" s="51">
        <f>VLOOKUP(A10,'IN-10-14'!A11:D885,4)</f>
        <v>64.12</v>
      </c>
      <c r="F10" s="69">
        <f>(D10*E10)</f>
        <v>2436.5600000000004</v>
      </c>
    </row>
    <row r="11" spans="1:7">
      <c r="A11" s="82" t="s">
        <v>348</v>
      </c>
      <c r="D11" s="51"/>
      <c r="E11" s="51"/>
      <c r="F11" s="69"/>
    </row>
    <row r="12" spans="1:7">
      <c r="A12" s="3" t="s">
        <v>1576</v>
      </c>
      <c r="B12" s="4" t="str">
        <f>VLOOKUP(A12,Insumos,2)</f>
        <v>canasta 1 (camión volcador)</v>
      </c>
      <c r="C12" s="6" t="str">
        <f>VLOOKUP(A12,Insumos,3)</f>
        <v>h</v>
      </c>
      <c r="D12" s="51">
        <v>0.6</v>
      </c>
      <c r="E12" s="51">
        <f>VLOOKUP(A12,'IN-10-14'!A13:D887,4)</f>
        <v>557.08467748239605</v>
      </c>
      <c r="F12" s="69">
        <f>(D12*E12)</f>
        <v>334.25080648943759</v>
      </c>
    </row>
    <row r="13" spans="1:7">
      <c r="A13" s="3"/>
      <c r="B13" s="4"/>
      <c r="C13" s="6"/>
      <c r="D13" s="51"/>
      <c r="E13" s="51"/>
      <c r="F13" s="69"/>
    </row>
    <row r="14" spans="1:7" ht="13.5" thickBot="1"/>
    <row r="15" spans="1:7" ht="13.5" thickTop="1">
      <c r="A15" s="75" t="s">
        <v>342</v>
      </c>
      <c r="B15" s="218" t="s">
        <v>1756</v>
      </c>
      <c r="C15" s="77" t="str">
        <f>Fecha</f>
        <v>Oct-14</v>
      </c>
      <c r="D15" s="48"/>
      <c r="E15" s="48"/>
      <c r="F15" s="219">
        <f>SUM(F17:F22)</f>
        <v>7969.5896393193398</v>
      </c>
      <c r="G15" s="41"/>
    </row>
    <row r="16" spans="1:7" ht="13.5" thickBot="1">
      <c r="A16" s="7" t="s">
        <v>341</v>
      </c>
      <c r="B16" s="7" t="s">
        <v>1652</v>
      </c>
      <c r="C16" s="78" t="s">
        <v>340</v>
      </c>
      <c r="D16" s="49" t="s">
        <v>1757</v>
      </c>
      <c r="E16" s="50"/>
      <c r="F16" s="68"/>
      <c r="G16" s="42" t="s">
        <v>343</v>
      </c>
    </row>
    <row r="17" spans="1:7" ht="13.5" thickTop="1">
      <c r="A17" s="82" t="s">
        <v>346</v>
      </c>
      <c r="D17" s="51"/>
      <c r="E17" s="51"/>
      <c r="F17" s="69"/>
    </row>
    <row r="18" spans="1:7">
      <c r="A18" s="3" t="s">
        <v>1310</v>
      </c>
      <c r="B18" s="4" t="str">
        <f>VLOOKUP(A18,Insumos,2)</f>
        <v>ventana 2 H. abrir c/mco.met. 1,20x1,10</v>
      </c>
      <c r="C18" s="6" t="str">
        <f>VLOOKUP(A18,Insumos,3)</f>
        <v>u</v>
      </c>
      <c r="D18" s="51">
        <v>6.5</v>
      </c>
      <c r="E18" s="51">
        <f>VLOOKUP(A18,'IN-10-14'!A19:D893,4)</f>
        <v>958.93946239216734</v>
      </c>
      <c r="F18" s="69">
        <f>(D18*E18)</f>
        <v>6233.1065055490881</v>
      </c>
    </row>
    <row r="19" spans="1:7">
      <c r="A19" s="82" t="s">
        <v>347</v>
      </c>
      <c r="D19" s="51"/>
      <c r="E19" s="51"/>
      <c r="F19" s="69"/>
    </row>
    <row r="20" spans="1:7">
      <c r="A20" s="3" t="s">
        <v>1575</v>
      </c>
      <c r="B20" s="4" t="str">
        <f>VLOOKUP(A20,Insumos,2)</f>
        <v>cuadrilla tipo UOCRA</v>
      </c>
      <c r="C20" s="6" t="str">
        <f>VLOOKUP(A20,Insumos,3)</f>
        <v>h</v>
      </c>
      <c r="D20" s="51">
        <v>24.5</v>
      </c>
      <c r="E20" s="51">
        <f>VLOOKUP(A20,'IN-10-14'!A21:D895,4)</f>
        <v>64.12</v>
      </c>
      <c r="F20" s="69">
        <f>(D20*E20)</f>
        <v>1570.94</v>
      </c>
    </row>
    <row r="21" spans="1:7">
      <c r="A21" s="82" t="s">
        <v>348</v>
      </c>
      <c r="D21" s="51"/>
      <c r="E21" s="51"/>
      <c r="F21" s="69"/>
    </row>
    <row r="22" spans="1:7">
      <c r="A22" s="3" t="s">
        <v>1581</v>
      </c>
      <c r="B22" s="4" t="str">
        <f>VLOOKUP(A22,Insumos,2)</f>
        <v>canasta 2 (mixer 5m3)</v>
      </c>
      <c r="C22" s="6" t="str">
        <f>VLOOKUP(A22,Insumos,3)</f>
        <v>h</v>
      </c>
      <c r="D22" s="51">
        <v>0.2</v>
      </c>
      <c r="E22" s="51">
        <f>VLOOKUP(A22,'IN-10-14'!A23:D897,4)</f>
        <v>827.71566885125844</v>
      </c>
      <c r="F22" s="69">
        <f>(D22*E22)</f>
        <v>165.5431337702517</v>
      </c>
    </row>
    <row r="23" spans="1:7" ht="13.5" thickBot="1"/>
    <row r="24" spans="1:7" ht="13.5" thickTop="1">
      <c r="A24" s="75" t="s">
        <v>342</v>
      </c>
      <c r="B24" s="218" t="s">
        <v>1758</v>
      </c>
      <c r="C24" s="77" t="str">
        <f>Fecha</f>
        <v>Oct-14</v>
      </c>
      <c r="D24" s="48"/>
      <c r="E24" s="48"/>
      <c r="F24" s="219">
        <f>SUM(F26:F33)</f>
        <v>6845.4948943725367</v>
      </c>
      <c r="G24" s="41"/>
    </row>
    <row r="25" spans="1:7" ht="13.5" thickBot="1">
      <c r="A25" s="7" t="s">
        <v>341</v>
      </c>
      <c r="B25" s="7" t="s">
        <v>1652</v>
      </c>
      <c r="C25" s="78" t="s">
        <v>340</v>
      </c>
      <c r="D25" s="49" t="s">
        <v>1759</v>
      </c>
      <c r="E25" s="50"/>
      <c r="F25" s="68"/>
      <c r="G25" s="42" t="s">
        <v>343</v>
      </c>
    </row>
    <row r="26" spans="1:7" ht="13.5" thickTop="1">
      <c r="A26" s="82" t="s">
        <v>346</v>
      </c>
      <c r="D26" s="51"/>
      <c r="E26" s="51"/>
      <c r="F26" s="69"/>
    </row>
    <row r="27" spans="1:7">
      <c r="A27" s="3" t="s">
        <v>50</v>
      </c>
      <c r="B27" s="4" t="str">
        <f>VLOOKUP(A27,Insumos,2)</f>
        <v xml:space="preserve">cerradura de seguridad </v>
      </c>
      <c r="C27" s="6" t="str">
        <f>VLOOKUP(A27,Insumos,3)</f>
        <v>u</v>
      </c>
      <c r="D27" s="51">
        <v>3.34</v>
      </c>
      <c r="E27" s="51">
        <f>VLOOKUP(A27,'IN-10-14'!A28:D902,4)</f>
        <v>122.27272727272728</v>
      </c>
      <c r="F27" s="69">
        <f>(D27*E27)</f>
        <v>408.39090909090908</v>
      </c>
    </row>
    <row r="28" spans="1:7">
      <c r="A28" s="3" t="s">
        <v>1601</v>
      </c>
      <c r="B28" s="4" t="str">
        <f>VLOOKUP(A28,Insumos,2)</f>
        <v>puerta tablero 0.90 x 2.00 cedro</v>
      </c>
      <c r="C28" s="6" t="str">
        <f>VLOOKUP(A28,Insumos,3)</f>
        <v>u</v>
      </c>
      <c r="D28" s="51">
        <v>1</v>
      </c>
      <c r="E28" s="51">
        <f>VLOOKUP(A28,'IN-10-14'!A29:D903,4)</f>
        <v>2647.3774104683198</v>
      </c>
      <c r="F28" s="69">
        <f>(D28*E28)</f>
        <v>2647.3774104683198</v>
      </c>
    </row>
    <row r="29" spans="1:7">
      <c r="A29" s="3" t="s">
        <v>1602</v>
      </c>
      <c r="B29" s="4" t="str">
        <f>VLOOKUP(A29,Insumos,2)</f>
        <v>puerta placa 0,70 x 2,00</v>
      </c>
      <c r="C29" s="6" t="str">
        <f>VLOOKUP(A29,Insumos,3)</f>
        <v>u</v>
      </c>
      <c r="D29" s="51">
        <v>4</v>
      </c>
      <c r="E29" s="51">
        <f>VLOOKUP(A29,'IN-10-14'!A30:D904,4)</f>
        <v>708.2644628099174</v>
      </c>
      <c r="F29" s="69">
        <f>(D29*E29)</f>
        <v>2833.0578512396696</v>
      </c>
    </row>
    <row r="30" spans="1:7">
      <c r="A30" s="82" t="s">
        <v>347</v>
      </c>
      <c r="D30" s="51"/>
      <c r="E30" s="51"/>
      <c r="F30" s="69"/>
    </row>
    <row r="31" spans="1:7">
      <c r="A31" s="3" t="s">
        <v>1575</v>
      </c>
      <c r="B31" s="4" t="str">
        <f>VLOOKUP(A31,Insumos,2)</f>
        <v>cuadrilla tipo UOCRA</v>
      </c>
      <c r="C31" s="6" t="str">
        <f>VLOOKUP(A31,Insumos,3)</f>
        <v>h</v>
      </c>
      <c r="D31" s="51">
        <v>13.5</v>
      </c>
      <c r="E31" s="51">
        <f>VLOOKUP(A31,'IN-10-14'!A32:D906,4)</f>
        <v>64.12</v>
      </c>
      <c r="F31" s="69">
        <f>(D31*E31)</f>
        <v>865.62000000000012</v>
      </c>
    </row>
    <row r="32" spans="1:7">
      <c r="A32" s="82" t="s">
        <v>348</v>
      </c>
      <c r="D32" s="51"/>
      <c r="E32" s="51"/>
      <c r="F32" s="69"/>
    </row>
    <row r="33" spans="1:7">
      <c r="A33" s="3" t="s">
        <v>1581</v>
      </c>
      <c r="B33" s="4" t="str">
        <f>VLOOKUP(A33,Insumos,2)</f>
        <v>canasta 2 (mixer 5m3)</v>
      </c>
      <c r="C33" s="6" t="str">
        <f>VLOOKUP(A33,Insumos,3)</f>
        <v>h</v>
      </c>
      <c r="D33" s="51">
        <v>0.11</v>
      </c>
      <c r="E33" s="51">
        <f>VLOOKUP(A33,'IN-10-14'!A34:D908,4)</f>
        <v>827.71566885125844</v>
      </c>
      <c r="F33" s="69">
        <f>(D33*E33)</f>
        <v>91.048723573638426</v>
      </c>
    </row>
    <row r="34" spans="1:7" ht="13.5" thickBot="1"/>
    <row r="35" spans="1:7" ht="13.5" thickTop="1">
      <c r="A35" s="75" t="s">
        <v>342</v>
      </c>
      <c r="B35" s="218" t="s">
        <v>334</v>
      </c>
      <c r="C35" s="77" t="str">
        <f>Fecha</f>
        <v>Oct-14</v>
      </c>
      <c r="D35" s="48"/>
      <c r="E35" s="48"/>
      <c r="F35" s="219">
        <f>F38+F39+F40+F41+F43+F45</f>
        <v>14424.014894372536</v>
      </c>
      <c r="G35" s="41"/>
    </row>
    <row r="36" spans="1:7" ht="13.5" thickBot="1">
      <c r="A36" s="7" t="s">
        <v>341</v>
      </c>
      <c r="B36" s="7" t="s">
        <v>1652</v>
      </c>
      <c r="C36" s="78" t="s">
        <v>340</v>
      </c>
      <c r="D36" s="49" t="s">
        <v>333</v>
      </c>
      <c r="E36" s="50"/>
      <c r="F36" s="68"/>
      <c r="G36" s="42" t="s">
        <v>343</v>
      </c>
    </row>
    <row r="37" spans="1:7" ht="13.5" thickTop="1">
      <c r="A37" s="82" t="s">
        <v>346</v>
      </c>
      <c r="D37" s="51"/>
      <c r="E37" s="51"/>
      <c r="F37" s="69"/>
    </row>
    <row r="38" spans="1:7">
      <c r="A38" s="3" t="s">
        <v>50</v>
      </c>
      <c r="B38" s="4" t="str">
        <f>VLOOKUP(A38,Insumos,2)</f>
        <v xml:space="preserve">cerradura de seguridad </v>
      </c>
      <c r="C38" s="6" t="str">
        <f>VLOOKUP(A38,Insumos,3)</f>
        <v>u</v>
      </c>
      <c r="D38" s="51">
        <v>3.34</v>
      </c>
      <c r="E38" s="51">
        <f>VLOOKUP(A38,'IN-10-14'!A39:D913,4)</f>
        <v>122.27272727272728</v>
      </c>
      <c r="F38" s="69">
        <f>(D38*E38)</f>
        <v>408.39090909090908</v>
      </c>
    </row>
    <row r="39" spans="1:7">
      <c r="A39" s="3" t="s">
        <v>1601</v>
      </c>
      <c r="B39" s="4" t="str">
        <f>VLOOKUP(A39,Insumos,2)</f>
        <v>puerta tablero 0.90 x 2.00 cedro</v>
      </c>
      <c r="C39" s="6" t="str">
        <f>VLOOKUP(A39,Insumos,3)</f>
        <v>u</v>
      </c>
      <c r="D39" s="51">
        <v>1</v>
      </c>
      <c r="E39" s="51">
        <f>VLOOKUP(A39,'IN-10-14'!A40:D914,4)</f>
        <v>2647.3774104683198</v>
      </c>
      <c r="F39" s="69">
        <f>(D39*E39)</f>
        <v>2647.3774104683198</v>
      </c>
    </row>
    <row r="40" spans="1:7">
      <c r="A40" s="3" t="s">
        <v>1602</v>
      </c>
      <c r="B40" s="4" t="str">
        <f>VLOOKUP(A40,Insumos,2)</f>
        <v>puerta placa 0,70 x 2,00</v>
      </c>
      <c r="C40" s="6" t="str">
        <f>VLOOKUP(A40,Insumos,3)</f>
        <v>u</v>
      </c>
      <c r="D40" s="51">
        <v>4</v>
      </c>
      <c r="E40" s="51">
        <f>VLOOKUP(A40,'IN-10-14'!A41:D915,4)</f>
        <v>708.2644628099174</v>
      </c>
      <c r="F40" s="69">
        <f>(D40*E40)</f>
        <v>2833.0578512396696</v>
      </c>
    </row>
    <row r="41" spans="1:7" hidden="1">
      <c r="A41" s="3" t="s">
        <v>49</v>
      </c>
      <c r="B41" s="4" t="s">
        <v>335</v>
      </c>
      <c r="C41" s="6" t="s">
        <v>174</v>
      </c>
      <c r="D41" s="51">
        <v>3</v>
      </c>
      <c r="E41" s="51">
        <v>2312.44</v>
      </c>
      <c r="F41" s="69">
        <v>6937.32</v>
      </c>
    </row>
    <row r="42" spans="1:7">
      <c r="A42" s="82" t="s">
        <v>347</v>
      </c>
      <c r="D42" s="51"/>
      <c r="E42" s="51"/>
      <c r="F42" s="69"/>
    </row>
    <row r="43" spans="1:7">
      <c r="A43" s="3" t="s">
        <v>1575</v>
      </c>
      <c r="B43" s="4" t="str">
        <f>VLOOKUP(A43,Insumos,2)</f>
        <v>cuadrilla tipo UOCRA</v>
      </c>
      <c r="C43" s="6" t="str">
        <f>VLOOKUP(A43,Insumos,3)</f>
        <v>h</v>
      </c>
      <c r="D43" s="51">
        <f>13.5+10</f>
        <v>23.5</v>
      </c>
      <c r="E43" s="51">
        <f>VLOOKUP(A43,'IN-10-14'!A44:D918,4)</f>
        <v>64.12</v>
      </c>
      <c r="F43" s="69">
        <f>(D43*E43)</f>
        <v>1506.8200000000002</v>
      </c>
    </row>
    <row r="44" spans="1:7">
      <c r="A44" s="82" t="s">
        <v>348</v>
      </c>
      <c r="D44" s="51"/>
      <c r="E44" s="51"/>
      <c r="F44" s="69"/>
    </row>
    <row r="45" spans="1:7">
      <c r="A45" s="3" t="s">
        <v>1581</v>
      </c>
      <c r="B45" s="4" t="str">
        <f>VLOOKUP(A45,Insumos,2)</f>
        <v>canasta 2 (mixer 5m3)</v>
      </c>
      <c r="C45" s="6" t="str">
        <f>VLOOKUP(A45,Insumos,3)</f>
        <v>h</v>
      </c>
      <c r="D45" s="51">
        <v>0.11</v>
      </c>
      <c r="E45" s="51">
        <f>VLOOKUP(A45,'IN-10-14'!A46:D920,4)</f>
        <v>827.71566885125844</v>
      </c>
      <c r="F45" s="69">
        <f>(D45*E45)</f>
        <v>91.048723573638426</v>
      </c>
    </row>
    <row r="46" spans="1:7" ht="13.5" thickBot="1"/>
    <row r="47" spans="1:7" ht="13.5" thickTop="1">
      <c r="A47" s="75" t="s">
        <v>342</v>
      </c>
      <c r="B47" s="218" t="s">
        <v>349</v>
      </c>
      <c r="C47" s="77" t="str">
        <f>Fecha</f>
        <v>Oct-14</v>
      </c>
      <c r="D47" s="48"/>
      <c r="E47" s="48"/>
      <c r="F47" s="219">
        <f>SUM(F49:F54)</f>
        <v>126186.99718547074</v>
      </c>
      <c r="G47" s="41"/>
    </row>
    <row r="48" spans="1:7" ht="13.5" thickBot="1">
      <c r="A48" s="7" t="s">
        <v>341</v>
      </c>
      <c r="B48" s="7" t="s">
        <v>1652</v>
      </c>
      <c r="C48" s="78" t="s">
        <v>340</v>
      </c>
      <c r="D48" s="49" t="s">
        <v>350</v>
      </c>
      <c r="E48" s="50"/>
      <c r="F48" s="68"/>
      <c r="G48" s="42" t="s">
        <v>343</v>
      </c>
    </row>
    <row r="49" spans="1:7" ht="13.5" thickTop="1">
      <c r="A49" s="82" t="s">
        <v>346</v>
      </c>
      <c r="D49" s="51"/>
      <c r="E49" s="51"/>
      <c r="F49" s="69"/>
    </row>
    <row r="50" spans="1:7">
      <c r="A50" s="3" t="s">
        <v>1310</v>
      </c>
      <c r="B50" s="4" t="str">
        <f>VLOOKUP(A50,Insumos,2)</f>
        <v>ventana 2 H. abrir c/mco.met. 1,20x1,10</v>
      </c>
      <c r="C50" s="6" t="str">
        <f>VLOOKUP(A50,Insumos,3)</f>
        <v>u</v>
      </c>
      <c r="D50" s="51">
        <v>79.41</v>
      </c>
      <c r="E50" s="51">
        <f>VLOOKUP(A50,'IN-10-14'!A51:D925,4)</f>
        <v>958.93946239216734</v>
      </c>
      <c r="F50" s="69">
        <f>(D50*E50)</f>
        <v>76149.382708562</v>
      </c>
    </row>
    <row r="51" spans="1:7">
      <c r="A51" s="82" t="s">
        <v>347</v>
      </c>
      <c r="D51" s="51"/>
      <c r="E51" s="51"/>
      <c r="F51" s="69"/>
    </row>
    <row r="52" spans="1:7">
      <c r="A52" s="3" t="s">
        <v>1575</v>
      </c>
      <c r="B52" s="4" t="str">
        <f>VLOOKUP(A52,Insumos,2)</f>
        <v>cuadrilla tipo UOCRA</v>
      </c>
      <c r="C52" s="6" t="str">
        <f>VLOOKUP(A52,Insumos,3)</f>
        <v>h</v>
      </c>
      <c r="D52" s="51">
        <v>680.46</v>
      </c>
      <c r="E52" s="51">
        <f>VLOOKUP(A52,'IN-10-14'!A53:D927,4)</f>
        <v>64.12</v>
      </c>
      <c r="F52" s="69">
        <f>(D52*E52)</f>
        <v>43631.095200000003</v>
      </c>
    </row>
    <row r="53" spans="1:7">
      <c r="A53" s="82" t="s">
        <v>348</v>
      </c>
      <c r="D53" s="51"/>
      <c r="E53" s="51"/>
      <c r="F53" s="69"/>
    </row>
    <row r="54" spans="1:7">
      <c r="A54" s="3" t="s">
        <v>1581</v>
      </c>
      <c r="B54" s="4" t="str">
        <f>VLOOKUP(A54,Insumos,2)</f>
        <v>canasta 2 (mixer 5m3)</v>
      </c>
      <c r="C54" s="6" t="str">
        <f>VLOOKUP(A54,Insumos,3)</f>
        <v>h</v>
      </c>
      <c r="D54" s="51">
        <v>7.74</v>
      </c>
      <c r="E54" s="51">
        <f>VLOOKUP(A54,'IN-10-14'!A55:D929,4)</f>
        <v>827.71566885125844</v>
      </c>
      <c r="F54" s="69">
        <f>(D54*E54)</f>
        <v>6406.5192769087407</v>
      </c>
    </row>
    <row r="55" spans="1:7" ht="13.5" thickBot="1"/>
    <row r="56" spans="1:7" ht="13.5" thickTop="1">
      <c r="A56" s="75" t="s">
        <v>342</v>
      </c>
      <c r="B56" s="218" t="s">
        <v>352</v>
      </c>
      <c r="C56" s="77" t="str">
        <f>Fecha</f>
        <v>Oct-14</v>
      </c>
      <c r="D56" s="48"/>
      <c r="E56" s="48"/>
      <c r="F56" s="219">
        <f>SUM(F58:F64)</f>
        <v>61230.005039788542</v>
      </c>
      <c r="G56" s="41"/>
    </row>
    <row r="57" spans="1:7" ht="13.5" thickBot="1">
      <c r="A57" s="7" t="s">
        <v>341</v>
      </c>
      <c r="B57" s="7" t="s">
        <v>1652</v>
      </c>
      <c r="C57" s="78" t="s">
        <v>340</v>
      </c>
      <c r="D57" s="49" t="s">
        <v>351</v>
      </c>
      <c r="E57" s="50"/>
      <c r="F57" s="68"/>
      <c r="G57" s="42" t="s">
        <v>343</v>
      </c>
    </row>
    <row r="58" spans="1:7" ht="13.5" thickTop="1">
      <c r="A58" s="82" t="s">
        <v>346</v>
      </c>
      <c r="D58" s="51"/>
      <c r="E58" s="51"/>
      <c r="F58" s="69"/>
    </row>
    <row r="59" spans="1:7">
      <c r="A59" s="3" t="s">
        <v>50</v>
      </c>
      <c r="B59" s="4" t="str">
        <f>VLOOKUP(A59,Insumos,2)</f>
        <v xml:space="preserve">cerradura de seguridad </v>
      </c>
      <c r="C59" s="6" t="str">
        <f>VLOOKUP(A59,Insumos,3)</f>
        <v>u</v>
      </c>
      <c r="D59" s="51">
        <v>17.32</v>
      </c>
      <c r="E59" s="51">
        <f>VLOOKUP(A59,'IN-10-14'!A58:D934,4)</f>
        <v>122.27272727272728</v>
      </c>
      <c r="F59" s="69">
        <f>(D59*E59)</f>
        <v>2117.7636363636366</v>
      </c>
    </row>
    <row r="60" spans="1:7">
      <c r="A60" s="3" t="s">
        <v>1602</v>
      </c>
      <c r="B60" s="4" t="str">
        <f>VLOOKUP(A60,Insumos,2)</f>
        <v>puerta placa 0,70 x 2,00</v>
      </c>
      <c r="C60" s="6" t="str">
        <f>VLOOKUP(A60,Insumos,3)</f>
        <v>u</v>
      </c>
      <c r="D60" s="51">
        <v>65.819999999999993</v>
      </c>
      <c r="E60" s="51">
        <f>VLOOKUP(A60,'IN-10-14'!A59:D935,4)</f>
        <v>708.2644628099174</v>
      </c>
      <c r="F60" s="69">
        <f>(D60*E60)</f>
        <v>46617.966942148756</v>
      </c>
    </row>
    <row r="61" spans="1:7">
      <c r="A61" s="82" t="s">
        <v>347</v>
      </c>
      <c r="D61" s="51"/>
      <c r="E61" s="51"/>
      <c r="F61" s="69"/>
    </row>
    <row r="62" spans="1:7">
      <c r="A62" s="3" t="s">
        <v>1575</v>
      </c>
      <c r="B62" s="4" t="str">
        <f>VLOOKUP(A62,Insumos,2)</f>
        <v>cuadrilla tipo UOCRA</v>
      </c>
      <c r="C62" s="6" t="str">
        <f>VLOOKUP(A62,Insumos,3)</f>
        <v>h</v>
      </c>
      <c r="D62" s="51">
        <v>167.62</v>
      </c>
      <c r="E62" s="51">
        <f>VLOOKUP(A62,'IN-10-14'!A63:D937,4)</f>
        <v>64.12</v>
      </c>
      <c r="F62" s="69">
        <f>(D62*E62)</f>
        <v>10747.794400000001</v>
      </c>
    </row>
    <row r="63" spans="1:7">
      <c r="A63" s="82" t="s">
        <v>348</v>
      </c>
      <c r="D63" s="51"/>
      <c r="E63" s="51"/>
      <c r="F63" s="69"/>
    </row>
    <row r="64" spans="1:7">
      <c r="A64" s="3" t="s">
        <v>1581</v>
      </c>
      <c r="B64" s="4" t="str">
        <f>VLOOKUP(A64,Insumos,2)</f>
        <v>canasta 2 (mixer 5m3)</v>
      </c>
      <c r="C64" s="6" t="str">
        <f>VLOOKUP(A64,Insumos,3)</f>
        <v>h</v>
      </c>
      <c r="D64" s="51">
        <v>2.11</v>
      </c>
      <c r="E64" s="51">
        <f>VLOOKUP(A64,'IN-10-14'!A65:D939,4)</f>
        <v>827.71566885125844</v>
      </c>
      <c r="F64" s="69">
        <f>(D64*E64)</f>
        <v>1746.4800612761553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E5" sqref="E5"/>
      <pageMargins left="0.78740157480314965" right="0.39370078740157483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syncVertical="1" syncRef="A99" transitionEvaluation="1" codeName="Hoja14">
    <tabColor indexed="60"/>
  </sheetPr>
  <dimension ref="A1:H231"/>
  <sheetViews>
    <sheetView showGridLines="0" topLeftCell="A99" zoomScale="90" zoomScaleNormal="75" zoomScaleSheetLayoutView="75" workbookViewId="0">
      <selection activeCell="K119" sqref="K119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/>
    <row r="2" spans="1:7" ht="13.5" thickTop="1">
      <c r="A2" s="75" t="s">
        <v>342</v>
      </c>
      <c r="B2" s="218" t="s">
        <v>1780</v>
      </c>
      <c r="C2" s="77" t="str">
        <f>Fecha</f>
        <v>Oct-14</v>
      </c>
      <c r="D2" s="48"/>
      <c r="E2" s="48"/>
      <c r="F2" s="219">
        <f>SUM(F4:F11)</f>
        <v>2373.8749677482397</v>
      </c>
      <c r="G2" s="41"/>
    </row>
    <row r="3" spans="1:7" ht="13.5" thickBot="1">
      <c r="A3" s="7" t="s">
        <v>341</v>
      </c>
      <c r="B3" s="7" t="s">
        <v>1653</v>
      </c>
      <c r="C3" s="78" t="s">
        <v>340</v>
      </c>
      <c r="D3" s="49" t="s">
        <v>1816</v>
      </c>
      <c r="E3" s="50"/>
      <c r="F3" s="68"/>
      <c r="G3" s="42" t="s">
        <v>343</v>
      </c>
    </row>
    <row r="4" spans="1:7" ht="13.5" thickTop="1">
      <c r="A4" s="82" t="s">
        <v>346</v>
      </c>
      <c r="D4" s="51"/>
      <c r="E4" s="51"/>
      <c r="F4" s="69"/>
    </row>
    <row r="5" spans="1:7">
      <c r="A5" s="2" t="s">
        <v>160</v>
      </c>
      <c r="B5" s="4" t="str">
        <f>VLOOKUP(A5,'IN-10-14'!$A$5:$D$441,2)</f>
        <v>medidor de agua</v>
      </c>
      <c r="C5" s="4" t="str">
        <f>VLOOKUP(A5,'IN-10-14'!$A$5:$D$441,3)</f>
        <v>u</v>
      </c>
      <c r="D5" s="51">
        <v>1</v>
      </c>
      <c r="E5" s="4">
        <f>VLOOKUP(A5,'IN-10-14'!$A$5:$D$441,4)</f>
        <v>629</v>
      </c>
      <c r="F5" s="69">
        <f>(D5*E5)</f>
        <v>629</v>
      </c>
    </row>
    <row r="6" spans="1:7">
      <c r="A6" s="3" t="s">
        <v>1715</v>
      </c>
      <c r="B6" s="4" t="str">
        <f>VLOOKUP(A6,'IN-10-14'!$A$5:$D$441,2)</f>
        <v>kit medidor agua aprob. ASSA</v>
      </c>
      <c r="C6" s="4" t="str">
        <f>VLOOKUP(A6,'IN-10-14'!$A$5:$D$441,3)</f>
        <v>u</v>
      </c>
      <c r="D6" s="51">
        <v>1.55</v>
      </c>
      <c r="E6" s="4">
        <f>VLOOKUP(A6,'IN-10-14'!$A$5:$D$441,4)</f>
        <v>409.23</v>
      </c>
      <c r="F6" s="69">
        <f>(D6*E6)</f>
        <v>634.30650000000003</v>
      </c>
    </row>
    <row r="7" spans="1:7">
      <c r="A7" s="3" t="s">
        <v>1716</v>
      </c>
      <c r="B7" s="4" t="str">
        <f>VLOOKUP(A7,'IN-10-14'!$A$5:$D$441,2)</f>
        <v>gabinete p/medidor agua aprobado ASSA</v>
      </c>
      <c r="C7" s="4" t="str">
        <f>VLOOKUP(A7,'IN-10-14'!$A$5:$D$441,3)</f>
        <v>u</v>
      </c>
      <c r="D7" s="51">
        <v>1</v>
      </c>
      <c r="E7" s="4">
        <f>VLOOKUP(A7,'IN-10-14'!$A$5:$D$441,4)</f>
        <v>161.69999999999999</v>
      </c>
      <c r="F7" s="69">
        <f>(D7*E7)</f>
        <v>161.69999999999999</v>
      </c>
    </row>
    <row r="8" spans="1:7">
      <c r="A8" s="82" t="s">
        <v>347</v>
      </c>
      <c r="D8" s="51"/>
      <c r="E8" s="4"/>
      <c r="F8" s="69"/>
    </row>
    <row r="9" spans="1:7">
      <c r="A9" s="3" t="s">
        <v>1607</v>
      </c>
      <c r="B9" s="4" t="str">
        <f>VLOOKUP(A9,Insumos,2)</f>
        <v>cuadrilla tipo U.G.A.T.S.</v>
      </c>
      <c r="C9" s="6" t="str">
        <f>VLOOKUP(A9,Insumos,3)</f>
        <v>h</v>
      </c>
      <c r="D9" s="51">
        <v>12</v>
      </c>
      <c r="E9" s="4">
        <f>VLOOKUP(A9,'IN-10-14'!$A$5:$D$441,4)</f>
        <v>74.430000000000007</v>
      </c>
      <c r="F9" s="69">
        <f>(D9*E9)</f>
        <v>893.16000000000008</v>
      </c>
    </row>
    <row r="10" spans="1:7">
      <c r="A10" s="82" t="s">
        <v>348</v>
      </c>
      <c r="C10" s="6"/>
      <c r="D10" s="51"/>
      <c r="E10" s="4"/>
      <c r="F10" s="69"/>
    </row>
    <row r="11" spans="1:7">
      <c r="A11" s="3" t="s">
        <v>1576</v>
      </c>
      <c r="B11" s="4" t="str">
        <f>VLOOKUP(A11,Insumos,2)</f>
        <v>canasta 1 (camión volcador)</v>
      </c>
      <c r="C11" s="6" t="str">
        <f>VLOOKUP(A11,Insumos,3)</f>
        <v>h</v>
      </c>
      <c r="D11" s="51">
        <v>0.1</v>
      </c>
      <c r="E11" s="4">
        <f>VLOOKUP(A11,'IN-10-14'!$A$5:$D$441,4)</f>
        <v>557.08467748239605</v>
      </c>
      <c r="F11" s="69">
        <f>(D11*E11)</f>
        <v>55.708467748239606</v>
      </c>
    </row>
    <row r="12" spans="1:7" ht="13.5" thickBot="1">
      <c r="A12" s="3"/>
      <c r="B12" s="4"/>
      <c r="C12" s="6"/>
      <c r="D12" s="51"/>
      <c r="E12" s="51"/>
      <c r="F12" s="69"/>
    </row>
    <row r="13" spans="1:7" ht="13.5" thickTop="1">
      <c r="A13" s="75" t="s">
        <v>342</v>
      </c>
      <c r="B13" s="218" t="s">
        <v>1817</v>
      </c>
      <c r="C13" s="77" t="str">
        <f>Fecha</f>
        <v>Oct-14</v>
      </c>
      <c r="D13" s="48"/>
      <c r="E13" s="48"/>
      <c r="F13" s="219">
        <f>SUM(F15:F24)</f>
        <v>5746.663064146479</v>
      </c>
      <c r="G13" s="41"/>
    </row>
    <row r="14" spans="1:7" ht="13.5" thickBot="1">
      <c r="A14" s="7" t="s">
        <v>341</v>
      </c>
      <c r="B14" s="7" t="s">
        <v>1653</v>
      </c>
      <c r="C14" s="78" t="s">
        <v>340</v>
      </c>
      <c r="D14" s="49" t="s">
        <v>1818</v>
      </c>
      <c r="E14" s="50"/>
      <c r="F14" s="68"/>
      <c r="G14" s="42" t="s">
        <v>343</v>
      </c>
    </row>
    <row r="15" spans="1:7" ht="13.5" thickTop="1">
      <c r="A15" s="82" t="s">
        <v>346</v>
      </c>
      <c r="D15" s="51"/>
      <c r="E15" s="51"/>
      <c r="F15" s="69"/>
    </row>
    <row r="16" spans="1:7">
      <c r="A16" s="3" t="s">
        <v>1604</v>
      </c>
      <c r="B16" s="4" t="str">
        <f>VLOOKUP(A16,'IN-10-14'!$A$5:$D$441,2)</f>
        <v>codo IPS 19 mm</v>
      </c>
      <c r="C16" s="4" t="str">
        <f>VLOOKUP(A16,'IN-10-14'!$A$5:$D$441,3)</f>
        <v>u</v>
      </c>
      <c r="D16" s="51">
        <v>45</v>
      </c>
      <c r="E16" s="4">
        <f>VLOOKUP(A16,'IN-10-14'!$A$5:$D$441,4)</f>
        <v>4.5</v>
      </c>
      <c r="F16" s="69">
        <f>(D16*E16)</f>
        <v>202.5</v>
      </c>
    </row>
    <row r="17" spans="1:7">
      <c r="A17" s="3" t="s">
        <v>1605</v>
      </c>
      <c r="B17" s="4" t="str">
        <f>VLOOKUP(A17,'IN-10-14'!$A$5:$D$441,2)</f>
        <v>caño H-3 tricapa 19 mm</v>
      </c>
      <c r="C17" s="4" t="str">
        <f>VLOOKUP(A17,'IN-10-14'!$A$5:$D$441,3)</f>
        <v>m</v>
      </c>
      <c r="D17" s="51">
        <v>46.5</v>
      </c>
      <c r="E17" s="4">
        <f>VLOOKUP(A17,'IN-10-14'!$A$5:$D$441,4)</f>
        <v>19.166431580000001</v>
      </c>
      <c r="F17" s="69">
        <f>(D17*E17)</f>
        <v>891.23906847000001</v>
      </c>
    </row>
    <row r="18" spans="1:7">
      <c r="A18" s="3" t="s">
        <v>1606</v>
      </c>
      <c r="B18" s="4" t="str">
        <f>VLOOKUP(A18,'IN-10-14'!$A$5:$D$441,2)</f>
        <v>llave de paso de bronce 0.019</v>
      </c>
      <c r="C18" s="4" t="str">
        <f>VLOOKUP(A18,'IN-10-14'!$A$5:$D$441,3)</f>
        <v>u</v>
      </c>
      <c r="D18" s="51">
        <v>6</v>
      </c>
      <c r="E18" s="4">
        <f>VLOOKUP(A18,'IN-10-14'!$A$5:$D$441,4)</f>
        <v>108.2324</v>
      </c>
      <c r="F18" s="69">
        <f>(D18*E18)</f>
        <v>649.39440000000002</v>
      </c>
    </row>
    <row r="19" spans="1:7">
      <c r="A19" s="3" t="s">
        <v>1316</v>
      </c>
      <c r="B19" s="4" t="str">
        <f>VLOOKUP(A19,'IN-10-14'!$A$5:$D$441,2)</f>
        <v>tanque de reserva 600 lts. PVC tricapa</v>
      </c>
      <c r="C19" s="4" t="str">
        <f>VLOOKUP(A19,'IN-10-14'!$A$5:$D$441,3)</f>
        <v>u</v>
      </c>
      <c r="D19" s="51">
        <v>1</v>
      </c>
      <c r="E19" s="4">
        <f>VLOOKUP(A19,'IN-10-14'!$A$5:$D$441,4)</f>
        <v>1347.6217591999998</v>
      </c>
      <c r="F19" s="69">
        <f>(D19*E19)</f>
        <v>1347.6217591999998</v>
      </c>
    </row>
    <row r="20" spans="1:7">
      <c r="A20" s="3" t="s">
        <v>1714</v>
      </c>
      <c r="B20" s="4" t="str">
        <f>VLOOKUP(A20,'IN-10-14'!$A$5:$D$441,2)</f>
        <v>tee IPS 19 mm</v>
      </c>
      <c r="C20" s="4" t="str">
        <f>VLOOKUP(A20,'IN-10-14'!$A$5:$D$441,3)</f>
        <v>u</v>
      </c>
      <c r="D20" s="51">
        <v>30</v>
      </c>
      <c r="E20" s="4">
        <f>VLOOKUP(A20,'IN-10-14'!$A$5:$D$441,4)</f>
        <v>5.4243633659999997</v>
      </c>
      <c r="F20" s="69">
        <f>(D20*E20)</f>
        <v>162.73090098</v>
      </c>
    </row>
    <row r="21" spans="1:7">
      <c r="A21" s="82" t="s">
        <v>347</v>
      </c>
      <c r="D21" s="51"/>
      <c r="E21" s="4"/>
      <c r="F21" s="69"/>
    </row>
    <row r="22" spans="1:7">
      <c r="A22" s="3" t="s">
        <v>1607</v>
      </c>
      <c r="B22" s="4" t="str">
        <f>VLOOKUP(A22,Insumos,2)</f>
        <v>cuadrilla tipo U.G.A.T.S.</v>
      </c>
      <c r="C22" s="6" t="str">
        <f>VLOOKUP(A22,Insumos,3)</f>
        <v>h</v>
      </c>
      <c r="D22" s="51">
        <v>32</v>
      </c>
      <c r="E22" s="4">
        <f>VLOOKUP(A22,'IN-10-14'!$A$5:$D$441,4)</f>
        <v>74.430000000000007</v>
      </c>
      <c r="F22" s="69">
        <f>(D22*E22)</f>
        <v>2381.7600000000002</v>
      </c>
    </row>
    <row r="23" spans="1:7">
      <c r="A23" s="82" t="s">
        <v>348</v>
      </c>
      <c r="D23" s="51"/>
      <c r="E23" s="4"/>
      <c r="F23" s="69"/>
    </row>
    <row r="24" spans="1:7">
      <c r="A24" s="3" t="s">
        <v>1576</v>
      </c>
      <c r="B24" s="4" t="str">
        <f>VLOOKUP(A24,Insumos,2)</f>
        <v>canasta 1 (camión volcador)</v>
      </c>
      <c r="C24" s="6" t="str">
        <f>VLOOKUP(A24,Insumos,3)</f>
        <v>h</v>
      </c>
      <c r="D24" s="51">
        <v>0.2</v>
      </c>
      <c r="E24" s="4">
        <f>VLOOKUP(A24,'IN-10-14'!$A$5:$D$441,4)</f>
        <v>557.08467748239605</v>
      </c>
      <c r="F24" s="69">
        <f>(D24*E24)</f>
        <v>111.41693549647921</v>
      </c>
    </row>
    <row r="25" spans="1:7" ht="13.5" thickBot="1"/>
    <row r="26" spans="1:7" ht="13.5" thickTop="1">
      <c r="A26" s="75" t="s">
        <v>342</v>
      </c>
      <c r="B26" s="218" t="s">
        <v>1819</v>
      </c>
      <c r="C26" s="77" t="str">
        <f>Fecha</f>
        <v>Oct-14</v>
      </c>
      <c r="D26" s="48"/>
      <c r="E26" s="48"/>
      <c r="F26" s="219">
        <f>SUM(F28:F40)</f>
        <v>8120.5380318947182</v>
      </c>
      <c r="G26" s="41"/>
    </row>
    <row r="27" spans="1:7" ht="13.5" thickBot="1">
      <c r="A27" s="7" t="s">
        <v>341</v>
      </c>
      <c r="B27" s="7" t="s">
        <v>1653</v>
      </c>
      <c r="C27" s="78" t="s">
        <v>340</v>
      </c>
      <c r="D27" s="49" t="s">
        <v>1781</v>
      </c>
      <c r="E27" s="50"/>
      <c r="F27" s="68"/>
      <c r="G27" s="42" t="s">
        <v>343</v>
      </c>
    </row>
    <row r="28" spans="1:7" ht="13.5" thickTop="1">
      <c r="A28" s="82" t="s">
        <v>346</v>
      </c>
      <c r="D28" s="51"/>
      <c r="E28" s="51"/>
      <c r="F28" s="69"/>
    </row>
    <row r="29" spans="1:7">
      <c r="A29" s="3" t="s">
        <v>1604</v>
      </c>
      <c r="B29" s="4" t="str">
        <f>VLOOKUP(A29,'IN-10-14'!$A$5:$D$441,2)</f>
        <v>codo IPS 19 mm</v>
      </c>
      <c r="C29" s="4" t="str">
        <f>VLOOKUP(A29,'IN-10-14'!$A$5:$D$441,3)</f>
        <v>u</v>
      </c>
      <c r="D29" s="51">
        <v>45</v>
      </c>
      <c r="E29" s="4">
        <f>VLOOKUP(A29,'IN-10-14'!$A$5:$D$441,4)</f>
        <v>4.5</v>
      </c>
      <c r="F29" s="69">
        <f t="shared" ref="F29:F36" si="0">(D29*E29)</f>
        <v>202.5</v>
      </c>
    </row>
    <row r="30" spans="1:7">
      <c r="A30" s="3" t="s">
        <v>1605</v>
      </c>
      <c r="B30" s="4" t="str">
        <f>VLOOKUP(A30,'IN-10-14'!$A$5:$D$441,2)</f>
        <v>caño H-3 tricapa 19 mm</v>
      </c>
      <c r="C30" s="4" t="str">
        <f>VLOOKUP(A30,'IN-10-14'!$A$5:$D$441,3)</f>
        <v>m</v>
      </c>
      <c r="D30" s="51">
        <v>46.5</v>
      </c>
      <c r="E30" s="4">
        <f>VLOOKUP(A30,'IN-10-14'!$A$5:$D$441,4)</f>
        <v>19.166431580000001</v>
      </c>
      <c r="F30" s="69">
        <f t="shared" si="0"/>
        <v>891.23906847000001</v>
      </c>
    </row>
    <row r="31" spans="1:7" ht="15" customHeight="1">
      <c r="A31" s="3" t="s">
        <v>1606</v>
      </c>
      <c r="B31" s="4" t="str">
        <f>VLOOKUP(A31,'IN-10-14'!$A$5:$D$441,2)</f>
        <v>llave de paso de bronce 0.019</v>
      </c>
      <c r="C31" s="4" t="str">
        <f>VLOOKUP(A31,'IN-10-14'!$A$5:$D$441,3)</f>
        <v>u</v>
      </c>
      <c r="D31" s="51">
        <v>6</v>
      </c>
      <c r="E31" s="4">
        <f>VLOOKUP(A31,'IN-10-14'!$A$5:$D$441,4)</f>
        <v>108.2324</v>
      </c>
      <c r="F31" s="69">
        <f t="shared" si="0"/>
        <v>649.39440000000002</v>
      </c>
    </row>
    <row r="32" spans="1:7">
      <c r="A32" s="3" t="s">
        <v>1316</v>
      </c>
      <c r="B32" s="4" t="str">
        <f>VLOOKUP(A32,'IN-10-14'!$A$5:$D$441,2)</f>
        <v>tanque de reserva 600 lts. PVC tricapa</v>
      </c>
      <c r="C32" s="4" t="str">
        <f>VLOOKUP(A32,'IN-10-14'!$A$5:$D$441,3)</f>
        <v>u</v>
      </c>
      <c r="D32" s="51">
        <v>1</v>
      </c>
      <c r="E32" s="4">
        <f>VLOOKUP(A32,'IN-10-14'!$A$5:$D$441,4)</f>
        <v>1347.6217591999998</v>
      </c>
      <c r="F32" s="69">
        <f t="shared" si="0"/>
        <v>1347.6217591999998</v>
      </c>
    </row>
    <row r="33" spans="1:7">
      <c r="A33" s="3" t="s">
        <v>1714</v>
      </c>
      <c r="B33" s="4" t="str">
        <f>VLOOKUP(A33,'IN-10-14'!$A$5:$D$441,2)</f>
        <v>tee IPS 19 mm</v>
      </c>
      <c r="C33" s="4" t="str">
        <f>VLOOKUP(A33,'IN-10-14'!$A$5:$D$441,3)</f>
        <v>u</v>
      </c>
      <c r="D33" s="51">
        <v>30</v>
      </c>
      <c r="E33" s="4">
        <f>VLOOKUP(A33,'IN-10-14'!$A$5:$D$441,4)</f>
        <v>5.4243633659999997</v>
      </c>
      <c r="F33" s="69">
        <f t="shared" si="0"/>
        <v>162.73090098</v>
      </c>
    </row>
    <row r="34" spans="1:7">
      <c r="A34" s="3" t="s">
        <v>1715</v>
      </c>
      <c r="B34" s="4" t="str">
        <f>VLOOKUP(A34,'IN-10-14'!$A$5:$D$441,2)</f>
        <v>kit medidor agua aprob. ASSA</v>
      </c>
      <c r="C34" s="4" t="str">
        <f>VLOOKUP(A34,'IN-10-14'!$A$5:$D$441,3)</f>
        <v>u</v>
      </c>
      <c r="D34" s="51">
        <v>1.55</v>
      </c>
      <c r="E34" s="4">
        <f>VLOOKUP(A34,'IN-10-14'!$A$5:$D$441,4)</f>
        <v>409.23</v>
      </c>
      <c r="F34" s="69">
        <f t="shared" si="0"/>
        <v>634.30650000000003</v>
      </c>
    </row>
    <row r="35" spans="1:7">
      <c r="A35" s="3" t="s">
        <v>1716</v>
      </c>
      <c r="B35" s="4" t="str">
        <f>VLOOKUP(A35,'IN-10-14'!$A$5:$D$441,2)</f>
        <v>gabinete p/medidor agua aprobado ASSA</v>
      </c>
      <c r="C35" s="4" t="str">
        <f>VLOOKUP(A35,'IN-10-14'!$A$5:$D$441,3)</f>
        <v>u</v>
      </c>
      <c r="D35" s="51">
        <v>1</v>
      </c>
      <c r="E35" s="4">
        <f>VLOOKUP(A35,'IN-10-14'!$A$5:$D$441,4)</f>
        <v>161.69999999999999</v>
      </c>
      <c r="F35" s="69">
        <f t="shared" si="0"/>
        <v>161.69999999999999</v>
      </c>
    </row>
    <row r="36" spans="1:7">
      <c r="A36" s="2" t="s">
        <v>160</v>
      </c>
      <c r="B36" s="4" t="str">
        <f>VLOOKUP(A36,'IN-10-14'!$A$5:$D$441,2)</f>
        <v>medidor de agua</v>
      </c>
      <c r="C36" s="4" t="str">
        <f>VLOOKUP(A36,'IN-10-14'!$A$5:$D$441,3)</f>
        <v>u</v>
      </c>
      <c r="D36" s="51">
        <v>1</v>
      </c>
      <c r="E36" s="4">
        <f>VLOOKUP(A36,'IN-10-14'!$A$5:$D$441,4)</f>
        <v>629</v>
      </c>
      <c r="F36" s="69">
        <f t="shared" si="0"/>
        <v>629</v>
      </c>
    </row>
    <row r="37" spans="1:7">
      <c r="A37" s="82" t="s">
        <v>347</v>
      </c>
      <c r="D37" s="51"/>
      <c r="E37" s="4"/>
      <c r="F37" s="69"/>
    </row>
    <row r="38" spans="1:7">
      <c r="A38" s="3" t="s">
        <v>1607</v>
      </c>
      <c r="B38" s="4" t="str">
        <f>VLOOKUP(A38,Insumos,2)</f>
        <v>cuadrilla tipo U.G.A.T.S.</v>
      </c>
      <c r="C38" s="6" t="str">
        <f>VLOOKUP(A38,Insumos,3)</f>
        <v>h</v>
      </c>
      <c r="D38" s="51">
        <f>32+12</f>
        <v>44</v>
      </c>
      <c r="E38" s="4">
        <f>VLOOKUP(A38,'IN-10-14'!$A$5:$D$441,4)</f>
        <v>74.430000000000007</v>
      </c>
      <c r="F38" s="69">
        <f>(D38*E38)</f>
        <v>3274.92</v>
      </c>
    </row>
    <row r="39" spans="1:7">
      <c r="A39" s="82" t="s">
        <v>348</v>
      </c>
      <c r="D39" s="51"/>
      <c r="E39" s="4"/>
      <c r="F39" s="69"/>
    </row>
    <row r="40" spans="1:7">
      <c r="A40" s="3" t="s">
        <v>1576</v>
      </c>
      <c r="B40" s="4" t="str">
        <f>VLOOKUP(A40,Insumos,2)</f>
        <v>canasta 1 (camión volcador)</v>
      </c>
      <c r="C40" s="6" t="str">
        <f>VLOOKUP(A40,Insumos,3)</f>
        <v>h</v>
      </c>
      <c r="D40" s="51">
        <v>0.3</v>
      </c>
      <c r="E40" s="4">
        <f>VLOOKUP(A40,'IN-10-14'!$A$5:$D$441,4)</f>
        <v>557.08467748239605</v>
      </c>
      <c r="F40" s="69">
        <f>(D40*E40)</f>
        <v>167.1254032447188</v>
      </c>
    </row>
    <row r="41" spans="1:7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342</v>
      </c>
      <c r="B42" s="218" t="s">
        <v>1654</v>
      </c>
      <c r="C42" s="77" t="str">
        <f>Fecha</f>
        <v>Oct-14</v>
      </c>
      <c r="D42" s="48"/>
      <c r="E42" s="48"/>
      <c r="F42" s="219">
        <f>SUM(F44:F54)</f>
        <v>24528.393571307857</v>
      </c>
      <c r="G42" s="41"/>
    </row>
    <row r="43" spans="1:7" ht="13.5" thickBot="1">
      <c r="A43" s="7" t="s">
        <v>341</v>
      </c>
      <c r="B43" s="7" t="s">
        <v>1653</v>
      </c>
      <c r="C43" s="78" t="s">
        <v>340</v>
      </c>
      <c r="D43" s="49" t="s">
        <v>353</v>
      </c>
      <c r="E43" s="50"/>
      <c r="F43" s="68"/>
      <c r="G43" s="42" t="s">
        <v>343</v>
      </c>
    </row>
    <row r="44" spans="1:7" ht="15.95" customHeight="1" thickTop="1">
      <c r="A44" s="82" t="s">
        <v>346</v>
      </c>
      <c r="D44" s="51"/>
      <c r="E44" s="51"/>
      <c r="F44" s="69"/>
    </row>
    <row r="45" spans="1:7">
      <c r="A45" s="3" t="s">
        <v>1606</v>
      </c>
      <c r="B45" s="4" t="str">
        <f>VLOOKUP(A45,'IN-10-14'!$A$5:$D$441,2)</f>
        <v>llave de paso de bronce 0.019</v>
      </c>
      <c r="C45" s="4" t="str">
        <f>VLOOKUP(A45,'IN-10-14'!$A$5:$D$441,3)</f>
        <v>u</v>
      </c>
      <c r="D45" s="51">
        <v>18.492999999999999</v>
      </c>
      <c r="E45" s="4">
        <f>VLOOKUP(A45,'IN-10-14'!$A$5:$D$441,4)</f>
        <v>108.2324</v>
      </c>
      <c r="F45" s="69">
        <f t="shared" ref="F45:F50" si="1">(D45*E45)</f>
        <v>2001.5417731999999</v>
      </c>
    </row>
    <row r="46" spans="1:7">
      <c r="A46" s="3" t="s">
        <v>1604</v>
      </c>
      <c r="B46" s="4" t="str">
        <f>VLOOKUP(A46,'IN-10-14'!$A$5:$D$441,2)</f>
        <v>codo IPS 19 mm</v>
      </c>
      <c r="C46" s="4" t="str">
        <f>VLOOKUP(A46,'IN-10-14'!$A$5:$D$441,3)</f>
        <v>u</v>
      </c>
      <c r="D46" s="51">
        <v>191.596</v>
      </c>
      <c r="E46" s="4">
        <f>VLOOKUP(A46,'IN-10-14'!$A$5:$D$441,4)</f>
        <v>4.5</v>
      </c>
      <c r="F46" s="69">
        <f t="shared" si="1"/>
        <v>862.18200000000002</v>
      </c>
    </row>
    <row r="47" spans="1:7">
      <c r="A47" s="3" t="s">
        <v>1605</v>
      </c>
      <c r="B47" s="4" t="str">
        <f>VLOOKUP(A47,'IN-10-14'!$A$5:$D$441,2)</f>
        <v>caño H-3 tricapa 19 mm</v>
      </c>
      <c r="C47" s="4" t="str">
        <f>VLOOKUP(A47,'IN-10-14'!$A$5:$D$441,3)</f>
        <v>m</v>
      </c>
      <c r="D47" s="51">
        <v>276.28699999999998</v>
      </c>
      <c r="E47" s="4">
        <f>VLOOKUP(A47,'IN-10-14'!$A$5:$D$441,4)</f>
        <v>19.166431580000001</v>
      </c>
      <c r="F47" s="69">
        <f t="shared" si="1"/>
        <v>5295.4358819434601</v>
      </c>
    </row>
    <row r="48" spans="1:7">
      <c r="A48" s="3" t="s">
        <v>1718</v>
      </c>
      <c r="B48" s="4" t="str">
        <f>VLOOKUP(A48,'IN-10-14'!$A$5:$D$441,2)</f>
        <v>válvula exclusa bronce 25 mm</v>
      </c>
      <c r="C48" s="4" t="str">
        <f>VLOOKUP(A48,'IN-10-14'!$A$5:$D$441,3)</f>
        <v>u</v>
      </c>
      <c r="D48" s="51">
        <v>24.968</v>
      </c>
      <c r="E48" s="4">
        <f>VLOOKUP(A48,'IN-10-14'!$A$5:$D$441,4)</f>
        <v>147.4</v>
      </c>
      <c r="F48" s="69">
        <f t="shared" si="1"/>
        <v>3680.2832000000003</v>
      </c>
    </row>
    <row r="49" spans="1:7">
      <c r="A49" s="3" t="s">
        <v>1717</v>
      </c>
      <c r="B49" s="4" t="str">
        <f>VLOOKUP(A49,'IN-10-14'!$A$5:$D$441,2)</f>
        <v>caño H-3 tricapa 25 mm</v>
      </c>
      <c r="C49" s="4" t="str">
        <f>VLOOKUP(A49,'IN-10-14'!$A$5:$D$441,3)</f>
        <v>m</v>
      </c>
      <c r="D49" s="51">
        <v>20.826000000000001</v>
      </c>
      <c r="E49" s="4">
        <f>VLOOKUP(A49,'IN-10-14'!$A$5:$D$441,4)</f>
        <v>36.9710775</v>
      </c>
      <c r="F49" s="69">
        <f t="shared" si="1"/>
        <v>769.95966001500005</v>
      </c>
    </row>
    <row r="50" spans="1:7">
      <c r="A50" s="3" t="s">
        <v>1714</v>
      </c>
      <c r="B50" s="4" t="str">
        <f>VLOOKUP(A50,'IN-10-14'!$A$5:$D$441,2)</f>
        <v>tee IPS 19 mm</v>
      </c>
      <c r="C50" s="4" t="str">
        <f>VLOOKUP(A50,'IN-10-14'!$A$5:$D$441,3)</f>
        <v>u</v>
      </c>
      <c r="D50" s="51">
        <v>130.50700000000001</v>
      </c>
      <c r="E50" s="4">
        <f>VLOOKUP(A50,'IN-10-14'!$A$5:$D$441,4)</f>
        <v>5.4243633659999997</v>
      </c>
      <c r="F50" s="69">
        <f t="shared" si="1"/>
        <v>707.91738980656203</v>
      </c>
    </row>
    <row r="51" spans="1:7">
      <c r="A51" s="82" t="s">
        <v>347</v>
      </c>
      <c r="D51" s="51"/>
      <c r="E51" s="4"/>
      <c r="F51" s="69"/>
    </row>
    <row r="52" spans="1:7">
      <c r="A52" s="3" t="s">
        <v>1607</v>
      </c>
      <c r="B52" s="4" t="str">
        <f>VLOOKUP(A52,Insumos,2)</f>
        <v>cuadrilla tipo U.G.A.T.S.</v>
      </c>
      <c r="C52" s="6" t="str">
        <f>VLOOKUP(A52,Insumos,3)</f>
        <v>h</v>
      </c>
      <c r="D52" s="51">
        <v>144.39099999999999</v>
      </c>
      <c r="E52" s="4">
        <f>VLOOKUP(A52,'IN-10-14'!$A$5:$D$441,4)</f>
        <v>74.430000000000007</v>
      </c>
      <c r="F52" s="69">
        <f>(D52*E52)</f>
        <v>10747.022130000001</v>
      </c>
    </row>
    <row r="53" spans="1:7">
      <c r="A53" s="82" t="s">
        <v>348</v>
      </c>
      <c r="D53" s="51"/>
      <c r="E53" s="4"/>
      <c r="F53" s="69"/>
    </row>
    <row r="54" spans="1:7">
      <c r="A54" s="3" t="s">
        <v>1576</v>
      </c>
      <c r="B54" s="4" t="str">
        <f>VLOOKUP(A54,Insumos,2)</f>
        <v>canasta 1 (camión volcador)</v>
      </c>
      <c r="C54" s="6" t="str">
        <f>VLOOKUP(A54,Insumos,3)</f>
        <v>h</v>
      </c>
      <c r="D54" s="51">
        <v>0.83299999999999996</v>
      </c>
      <c r="E54" s="4">
        <f>VLOOKUP(A54,'IN-10-14'!$A$5:$D$441,4)</f>
        <v>557.08467748239605</v>
      </c>
      <c r="F54" s="69">
        <f>(D54*E54)</f>
        <v>464.0515363428359</v>
      </c>
    </row>
    <row r="55" spans="1:7" ht="13.5" thickBot="1"/>
    <row r="56" spans="1:7" ht="13.5" thickTop="1">
      <c r="A56" s="75" t="s">
        <v>342</v>
      </c>
      <c r="B56" s="218" t="s">
        <v>1782</v>
      </c>
      <c r="C56" s="77" t="str">
        <f>Fecha</f>
        <v>Oct-14</v>
      </c>
      <c r="D56" s="48"/>
      <c r="E56" s="48"/>
      <c r="F56" s="219">
        <f>SUM(F58:F64)</f>
        <v>9306.4585057444147</v>
      </c>
      <c r="G56" s="41"/>
    </row>
    <row r="57" spans="1:7" ht="13.5" thickBot="1">
      <c r="A57" s="7" t="s">
        <v>341</v>
      </c>
      <c r="B57" s="7" t="s">
        <v>1655</v>
      </c>
      <c r="C57" s="78" t="s">
        <v>340</v>
      </c>
      <c r="D57" s="49" t="s">
        <v>1840</v>
      </c>
      <c r="E57" s="50"/>
      <c r="F57" s="68"/>
      <c r="G57" s="42" t="s">
        <v>343</v>
      </c>
    </row>
    <row r="58" spans="1:7" ht="13.5" thickTop="1">
      <c r="A58" s="82" t="s">
        <v>346</v>
      </c>
      <c r="D58" s="51"/>
      <c r="E58" s="51"/>
      <c r="F58" s="69"/>
    </row>
    <row r="59" spans="1:7">
      <c r="A59" s="3" t="s">
        <v>1608</v>
      </c>
      <c r="B59" s="4" t="str">
        <f>VLOOKUP(A59,'IN-10-14'!$A$5:$D$441,2)</f>
        <v>juego llave y flor p/ducha cromada</v>
      </c>
      <c r="C59" s="4" t="str">
        <f>VLOOKUP(A59,'IN-10-14'!$A$5:$D$441,3)</f>
        <v>u</v>
      </c>
      <c r="D59" s="51">
        <v>4.6500000000000004</v>
      </c>
      <c r="E59" s="4">
        <f>VLOOKUP(A59,'IN-10-14'!$A$5:$D$441,4)</f>
        <v>1103.909090909091</v>
      </c>
      <c r="F59" s="69">
        <f>(D59*E59)</f>
        <v>5133.1772727272737</v>
      </c>
    </row>
    <row r="60" spans="1:7">
      <c r="A60" s="3" t="s">
        <v>1609</v>
      </c>
      <c r="B60" s="4" t="str">
        <f>VLOOKUP(A60,'IN-10-14'!$A$5:$D$441,2)</f>
        <v>inodoro sifónico losa</v>
      </c>
      <c r="C60" s="4" t="str">
        <f>VLOOKUP(A60,'IN-10-14'!$A$5:$D$441,3)</f>
        <v>u</v>
      </c>
      <c r="D60" s="51">
        <v>5.51</v>
      </c>
      <c r="E60" s="4">
        <f>VLOOKUP(A60,'IN-10-14'!$A$5:$D$441,4)</f>
        <v>548.06611570247946</v>
      </c>
      <c r="F60" s="69">
        <f>(D60*E60)</f>
        <v>3019.8442975206617</v>
      </c>
    </row>
    <row r="61" spans="1:7">
      <c r="A61" s="82" t="s">
        <v>347</v>
      </c>
      <c r="D61" s="51"/>
      <c r="E61" s="4"/>
      <c r="F61" s="69"/>
    </row>
    <row r="62" spans="1:7">
      <c r="A62" s="3" t="s">
        <v>1607</v>
      </c>
      <c r="B62" s="4" t="str">
        <f>VLOOKUP(A62,Insumos,2)</f>
        <v>cuadrilla tipo U.G.A.T.S.</v>
      </c>
      <c r="C62" s="6" t="str">
        <f>VLOOKUP(A62,Insumos,3)</f>
        <v>h</v>
      </c>
      <c r="D62" s="51">
        <v>14</v>
      </c>
      <c r="E62" s="4">
        <f>VLOOKUP(A62,'IN-10-14'!$A$5:$D$441,4)</f>
        <v>74.430000000000007</v>
      </c>
      <c r="F62" s="69">
        <f>(D62*E62)</f>
        <v>1042.02</v>
      </c>
    </row>
    <row r="63" spans="1:7">
      <c r="A63" s="82" t="s">
        <v>348</v>
      </c>
      <c r="D63" s="51"/>
      <c r="E63" s="4"/>
      <c r="F63" s="69"/>
    </row>
    <row r="64" spans="1:7">
      <c r="A64" s="3" t="s">
        <v>1576</v>
      </c>
      <c r="B64" s="4" t="str">
        <f>VLOOKUP(A64,Insumos,2)</f>
        <v>canasta 1 (camión volcador)</v>
      </c>
      <c r="C64" s="6" t="str">
        <f>VLOOKUP(A64,Insumos,3)</f>
        <v>h</v>
      </c>
      <c r="D64" s="51">
        <v>0.2</v>
      </c>
      <c r="E64" s="4">
        <f>VLOOKUP(A64,'IN-10-14'!$A$5:$D$441,4)</f>
        <v>557.08467748239605</v>
      </c>
      <c r="F64" s="69">
        <f>(D64*E64)</f>
        <v>111.41693549647921</v>
      </c>
    </row>
    <row r="65" spans="1:7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342</v>
      </c>
      <c r="B66" s="218" t="s">
        <v>355</v>
      </c>
      <c r="C66" s="77" t="str">
        <f>Fecha</f>
        <v>Oct-14</v>
      </c>
      <c r="D66" s="48"/>
      <c r="E66" s="48"/>
      <c r="F66" s="219">
        <f>SUM(F68:F74)</f>
        <v>62668.991988945825</v>
      </c>
      <c r="G66" s="41"/>
    </row>
    <row r="67" spans="1:7" ht="13.5" thickBot="1">
      <c r="A67" s="7" t="s">
        <v>341</v>
      </c>
      <c r="B67" s="7" t="s">
        <v>1655</v>
      </c>
      <c r="C67" s="78" t="s">
        <v>340</v>
      </c>
      <c r="D67" s="49" t="s">
        <v>354</v>
      </c>
      <c r="E67" s="50"/>
      <c r="F67" s="68"/>
      <c r="G67" s="42" t="s">
        <v>343</v>
      </c>
    </row>
    <row r="68" spans="1:7" ht="13.5" thickTop="1">
      <c r="A68" s="82" t="s">
        <v>346</v>
      </c>
      <c r="D68" s="51"/>
      <c r="E68" s="51"/>
      <c r="F68" s="69"/>
    </row>
    <row r="69" spans="1:7">
      <c r="A69" s="3" t="s">
        <v>1608</v>
      </c>
      <c r="B69" s="4" t="str">
        <f>VLOOKUP(A69,'IN-10-14'!$A$5:$D$441,2)</f>
        <v>juego llave y flor p/ducha cromada</v>
      </c>
      <c r="C69" s="4" t="str">
        <f>VLOOKUP(A69,'IN-10-14'!$A$5:$D$441,3)</f>
        <v>u</v>
      </c>
      <c r="D69" s="51">
        <v>34.798000000000002</v>
      </c>
      <c r="E69" s="4">
        <f>VLOOKUP(A69,'IN-10-14'!$A$5:$D$441,4)</f>
        <v>1103.909090909091</v>
      </c>
      <c r="F69" s="69">
        <f>(D69*E69)</f>
        <v>38413.828545454548</v>
      </c>
    </row>
    <row r="70" spans="1:7">
      <c r="A70" s="3" t="s">
        <v>1609</v>
      </c>
      <c r="B70" s="4" t="str">
        <f>VLOOKUP(A70,'IN-10-14'!$A$5:$D$441,2)</f>
        <v>inodoro sifónico losa</v>
      </c>
      <c r="C70" s="4" t="str">
        <f>VLOOKUP(A70,'IN-10-14'!$A$5:$D$441,3)</f>
        <v>u</v>
      </c>
      <c r="D70" s="51">
        <v>32.950000000000003</v>
      </c>
      <c r="E70" s="4">
        <f>VLOOKUP(A70,'IN-10-14'!$A$5:$D$441,4)</f>
        <v>548.06611570247946</v>
      </c>
      <c r="F70" s="69">
        <f>(D70*E70)</f>
        <v>18058.778512396701</v>
      </c>
    </row>
    <row r="71" spans="1:7">
      <c r="A71" s="82" t="s">
        <v>347</v>
      </c>
      <c r="D71" s="51"/>
      <c r="E71" s="4"/>
      <c r="F71" s="69"/>
    </row>
    <row r="72" spans="1:7">
      <c r="A72" s="3" t="s">
        <v>1607</v>
      </c>
      <c r="B72" s="4" t="str">
        <f>VLOOKUP(A72,Insumos,2)</f>
        <v>cuadrilla tipo U.G.A.T.S.</v>
      </c>
      <c r="C72" s="6" t="str">
        <f>VLOOKUP(A72,Insumos,3)</f>
        <v>h</v>
      </c>
      <c r="D72" s="51">
        <v>68.191999999999993</v>
      </c>
      <c r="E72" s="4">
        <f>VLOOKUP(A72,'IN-10-14'!$A$5:$D$441,4)</f>
        <v>74.430000000000007</v>
      </c>
      <c r="F72" s="69">
        <f>(D72*E72)</f>
        <v>5075.5305600000002</v>
      </c>
    </row>
    <row r="73" spans="1:7">
      <c r="A73" s="82" t="s">
        <v>348</v>
      </c>
      <c r="D73" s="51"/>
      <c r="E73" s="4"/>
      <c r="F73" s="69"/>
    </row>
    <row r="74" spans="1:7">
      <c r="A74" s="3" t="s">
        <v>1576</v>
      </c>
      <c r="B74" s="4" t="str">
        <f>VLOOKUP(A74,Insumos,2)</f>
        <v>canasta 1 (camión volcador)</v>
      </c>
      <c r="C74" s="6" t="str">
        <f>VLOOKUP(A74,Insumos,3)</f>
        <v>h</v>
      </c>
      <c r="D74" s="51">
        <v>2.012</v>
      </c>
      <c r="E74" s="4">
        <f>VLOOKUP(A74,'IN-10-14'!$A$5:$D$441,4)</f>
        <v>557.08467748239605</v>
      </c>
      <c r="F74" s="69">
        <f>(D74*E74)</f>
        <v>1120.8543710945808</v>
      </c>
    </row>
    <row r="75" spans="1:7" ht="13.5" thickBot="1">
      <c r="A75" s="3"/>
      <c r="B75" s="4"/>
      <c r="C75" s="6"/>
      <c r="D75" s="51"/>
      <c r="E75" s="51"/>
      <c r="F75" s="69"/>
    </row>
    <row r="76" spans="1:7" ht="13.5" thickTop="1">
      <c r="A76" s="75" t="s">
        <v>342</v>
      </c>
      <c r="B76" s="218" t="s">
        <v>1826</v>
      </c>
      <c r="C76" s="77" t="str">
        <f>Fecha</f>
        <v>Oct-14</v>
      </c>
      <c r="D76" s="48"/>
      <c r="E76" s="48"/>
      <c r="F76" s="219">
        <f>SUM(F78:F86)</f>
        <v>7321.4765136485303</v>
      </c>
      <c r="G76" s="41"/>
    </row>
    <row r="77" spans="1:7" ht="13.5" thickBot="1">
      <c r="A77" s="7" t="s">
        <v>341</v>
      </c>
      <c r="B77" s="7" t="s">
        <v>1656</v>
      </c>
      <c r="C77" s="78" t="s">
        <v>340</v>
      </c>
      <c r="D77" s="49" t="s">
        <v>1845</v>
      </c>
      <c r="E77" s="50"/>
      <c r="F77" s="68"/>
      <c r="G77" s="42" t="s">
        <v>343</v>
      </c>
    </row>
    <row r="78" spans="1:7" ht="13.5" thickTop="1">
      <c r="A78" s="82" t="s">
        <v>346</v>
      </c>
      <c r="D78" s="51"/>
      <c r="E78" s="51"/>
      <c r="F78" s="69"/>
    </row>
    <row r="79" spans="1:7">
      <c r="A79" s="3" t="s">
        <v>1611</v>
      </c>
      <c r="B79" s="4" t="str">
        <f>VLOOKUP(A79,'IN-10-14'!$A$5:$D$441,2)</f>
        <v>caño PVC 3.2 p/desague cloacal 0.110 x 4 m.</v>
      </c>
      <c r="C79" s="4" t="str">
        <f>VLOOKUP(A79,'IN-10-14'!$A$5:$D$441,3)</f>
        <v>m</v>
      </c>
      <c r="D79" s="51">
        <v>41.378</v>
      </c>
      <c r="E79" s="4">
        <f>VLOOKUP(A79,'IN-10-14'!$A$5:$D$441,4)</f>
        <v>68.687319935520009</v>
      </c>
      <c r="F79" s="69">
        <f>(D79*E79)</f>
        <v>2842.1439242919469</v>
      </c>
    </row>
    <row r="80" spans="1:7">
      <c r="A80" s="3" t="s">
        <v>1827</v>
      </c>
      <c r="B80" s="4" t="str">
        <f>VLOOKUP(A80,'IN-10-14'!$A$5:$D$441,2)</f>
        <v>caño PVC 3.2 p/desague cloacal 0.060 x 4 m.</v>
      </c>
      <c r="C80" s="4" t="str">
        <f>VLOOKUP(A80,'IN-10-14'!$A$5:$D$441,3)</f>
        <v>m</v>
      </c>
      <c r="D80" s="51">
        <v>9.5579999999999998</v>
      </c>
      <c r="E80" s="4">
        <f>VLOOKUP(A80,'IN-10-14'!$A$5:$D$441,4)</f>
        <v>54.006997084559991</v>
      </c>
      <c r="F80" s="69">
        <f>(D80*E80)</f>
        <v>516.1988781342244</v>
      </c>
    </row>
    <row r="81" spans="1:7">
      <c r="A81" s="3" t="s">
        <v>1828</v>
      </c>
      <c r="B81" s="4" t="str">
        <f>VLOOKUP(A81,'IN-10-14'!$A$5:$D$441,2)</f>
        <v>ramal Y PVC 0.110x0.63</v>
      </c>
      <c r="C81" s="4" t="str">
        <f>VLOOKUP(A81,'IN-10-14'!$A$5:$D$441,3)</f>
        <v>u</v>
      </c>
      <c r="D81" s="51">
        <v>19.931000000000001</v>
      </c>
      <c r="E81" s="4">
        <f>VLOOKUP(A81,'IN-10-14'!$A$5:$D$441,4)</f>
        <v>37.42</v>
      </c>
      <c r="F81" s="69">
        <f>(D81*E81)</f>
        <v>745.81802000000005</v>
      </c>
    </row>
    <row r="82" spans="1:7">
      <c r="A82" s="3" t="s">
        <v>1578</v>
      </c>
      <c r="B82" s="4" t="str">
        <f>VLOOKUP(A82,Insumos,2)</f>
        <v>cemento Portland</v>
      </c>
      <c r="C82" s="6" t="str">
        <f>VLOOKUP(A82,Insumos,3)</f>
        <v>kg</v>
      </c>
      <c r="D82" s="51">
        <v>90.117999999999995</v>
      </c>
      <c r="E82" s="4">
        <f>VLOOKUP(A82,'IN-10-14'!$A$5:$D$441,4)</f>
        <v>1.7372000000000001</v>
      </c>
      <c r="F82" s="69">
        <f>(D82*E82)</f>
        <v>156.55298959999999</v>
      </c>
    </row>
    <row r="83" spans="1:7">
      <c r="A83" s="82" t="s">
        <v>347</v>
      </c>
      <c r="D83" s="51"/>
      <c r="E83" s="4"/>
      <c r="F83" s="69"/>
    </row>
    <row r="84" spans="1:7">
      <c r="A84" s="3" t="s">
        <v>1607</v>
      </c>
      <c r="B84" s="4" t="str">
        <f>VLOOKUP(A84,Insumos,2)</f>
        <v>cuadrilla tipo U.G.A.T.S.</v>
      </c>
      <c r="C84" s="6" t="str">
        <f>VLOOKUP(A84,Insumos,3)</f>
        <v>h</v>
      </c>
      <c r="D84" s="51">
        <v>40</v>
      </c>
      <c r="E84" s="4">
        <f>VLOOKUP(A84,'IN-10-14'!$A$5:$D$441,4)</f>
        <v>74.430000000000007</v>
      </c>
      <c r="F84" s="69">
        <f>(D84*E84)</f>
        <v>2977.2000000000003</v>
      </c>
    </row>
    <row r="85" spans="1:7">
      <c r="A85" s="82" t="s">
        <v>348</v>
      </c>
      <c r="D85" s="51"/>
      <c r="E85" s="4"/>
      <c r="F85" s="69"/>
    </row>
    <row r="86" spans="1:7">
      <c r="A86" s="3" t="s">
        <v>1576</v>
      </c>
      <c r="B86" s="4" t="str">
        <f>VLOOKUP(A86,Insumos,2)</f>
        <v>canasta 1 (camión volcador)</v>
      </c>
      <c r="C86" s="6" t="str">
        <f>VLOOKUP(A86,Insumos,3)</f>
        <v>h</v>
      </c>
      <c r="D86" s="51">
        <v>0.15</v>
      </c>
      <c r="E86" s="4">
        <f>VLOOKUP(A86,'IN-10-14'!$A$5:$D$441,4)</f>
        <v>557.08467748239605</v>
      </c>
      <c r="F86" s="69">
        <f>(D86*E86)</f>
        <v>83.562701622359398</v>
      </c>
    </row>
    <row r="87" spans="1:7" ht="13.5" thickBot="1">
      <c r="A87" s="3"/>
      <c r="B87" s="4"/>
      <c r="C87" s="6"/>
      <c r="D87" s="51"/>
      <c r="E87" s="51"/>
      <c r="F87" s="69"/>
    </row>
    <row r="88" spans="1:7" ht="13.5" thickTop="1">
      <c r="A88" s="75" t="s">
        <v>342</v>
      </c>
      <c r="B88" s="218" t="s">
        <v>1820</v>
      </c>
      <c r="C88" s="77" t="str">
        <f>Fecha</f>
        <v>Oct-14</v>
      </c>
      <c r="D88" s="48"/>
      <c r="E88" s="48"/>
      <c r="F88" s="219">
        <f>SUM(F90:F98)</f>
        <v>9382.2340249124627</v>
      </c>
      <c r="G88" s="41"/>
    </row>
    <row r="89" spans="1:7" ht="13.5" thickBot="1">
      <c r="A89" s="7" t="s">
        <v>341</v>
      </c>
      <c r="B89" s="7" t="s">
        <v>1656</v>
      </c>
      <c r="C89" s="78" t="s">
        <v>340</v>
      </c>
      <c r="D89" s="49" t="s">
        <v>1846</v>
      </c>
      <c r="E89" s="50"/>
      <c r="F89" s="68"/>
      <c r="G89" s="42" t="s">
        <v>343</v>
      </c>
    </row>
    <row r="90" spans="1:7" ht="13.5" thickTop="1">
      <c r="A90" s="82" t="s">
        <v>346</v>
      </c>
      <c r="D90" s="51"/>
      <c r="E90" s="51"/>
      <c r="F90" s="69"/>
    </row>
    <row r="91" spans="1:7">
      <c r="A91" s="3" t="s">
        <v>1611</v>
      </c>
      <c r="B91" s="4" t="str">
        <f>VLOOKUP(A91,'IN-10-14'!$A$5:$D$441,2)</f>
        <v>caño PVC 3.2 p/desague cloacal 0.110 x 4 m.</v>
      </c>
      <c r="C91" s="4" t="str">
        <f>VLOOKUP(A91,'IN-10-14'!$A$5:$D$441,3)</f>
        <v>m</v>
      </c>
      <c r="D91" s="51">
        <v>55.804000000000002</v>
      </c>
      <c r="E91" s="4">
        <f>VLOOKUP(A91,'IN-10-14'!$A$5:$D$441,4)</f>
        <v>68.687319935520009</v>
      </c>
      <c r="F91" s="69">
        <f>(D91*E91)</f>
        <v>3833.0272016817589</v>
      </c>
    </row>
    <row r="92" spans="1:7">
      <c r="A92" s="3" t="s">
        <v>1827</v>
      </c>
      <c r="B92" s="4" t="str">
        <f>VLOOKUP(A92,'IN-10-14'!$A$5:$D$441,2)</f>
        <v>caño PVC 3.2 p/desague cloacal 0.060 x 4 m.</v>
      </c>
      <c r="C92" s="4" t="str">
        <f>VLOOKUP(A92,'IN-10-14'!$A$5:$D$441,3)</f>
        <v>m</v>
      </c>
      <c r="D92" s="51">
        <v>9.5579999999999998</v>
      </c>
      <c r="E92" s="4">
        <f>VLOOKUP(A92,'IN-10-14'!$A$5:$D$441,4)</f>
        <v>54.006997084559991</v>
      </c>
      <c r="F92" s="69">
        <f>(D92*E92)</f>
        <v>516.1988781342244</v>
      </c>
    </row>
    <row r="93" spans="1:7">
      <c r="A93" s="3" t="s">
        <v>1828</v>
      </c>
      <c r="B93" s="4" t="str">
        <f>VLOOKUP(A93,'IN-10-14'!$A$5:$D$441,2)</f>
        <v>ramal Y PVC 0.110x0.63</v>
      </c>
      <c r="C93" s="4" t="str">
        <f>VLOOKUP(A93,'IN-10-14'!$A$5:$D$441,3)</f>
        <v>u</v>
      </c>
      <c r="D93" s="51">
        <v>19.931000000000001</v>
      </c>
      <c r="E93" s="4">
        <f>VLOOKUP(A93,'IN-10-14'!$A$5:$D$441,4)</f>
        <v>37.42</v>
      </c>
      <c r="F93" s="69">
        <f>(D93*E93)</f>
        <v>745.81802000000005</v>
      </c>
    </row>
    <row r="94" spans="1:7">
      <c r="A94" s="3" t="s">
        <v>1578</v>
      </c>
      <c r="B94" s="4" t="str">
        <f>VLOOKUP(A94,Insumos,2)</f>
        <v>cemento Portland</v>
      </c>
      <c r="C94" s="6" t="str">
        <f>VLOOKUP(A94,Insumos,3)</f>
        <v>kg</v>
      </c>
      <c r="D94" s="51">
        <v>90.117999999999995</v>
      </c>
      <c r="E94" s="4">
        <f>VLOOKUP(A94,'IN-10-14'!$A$5:$D$441,4)</f>
        <v>1.7372000000000001</v>
      </c>
      <c r="F94" s="69">
        <f>(D94*E94)</f>
        <v>156.55298959999999</v>
      </c>
    </row>
    <row r="95" spans="1:7">
      <c r="A95" s="82" t="s">
        <v>347</v>
      </c>
      <c r="C95" s="6"/>
      <c r="D95" s="51"/>
      <c r="E95" s="4"/>
      <c r="F95" s="69"/>
    </row>
    <row r="96" spans="1:7">
      <c r="A96" s="3" t="s">
        <v>1607</v>
      </c>
      <c r="B96" s="4" t="str">
        <f>VLOOKUP(A96,Insumos,2)</f>
        <v>cuadrilla tipo U.G.A.T.S.</v>
      </c>
      <c r="C96" s="6" t="str">
        <f>VLOOKUP(A96,Insumos,3)</f>
        <v>h</v>
      </c>
      <c r="D96" s="51">
        <v>54</v>
      </c>
      <c r="E96" s="4">
        <f>VLOOKUP(A96,'IN-10-14'!$A$5:$D$441,4)</f>
        <v>74.430000000000007</v>
      </c>
      <c r="F96" s="69">
        <f>(D96*E96)</f>
        <v>4019.2200000000003</v>
      </c>
    </row>
    <row r="97" spans="1:7">
      <c r="A97" s="82" t="s">
        <v>348</v>
      </c>
      <c r="D97" s="51"/>
      <c r="E97" s="4"/>
      <c r="F97" s="69"/>
    </row>
    <row r="98" spans="1:7">
      <c r="A98" s="3" t="s">
        <v>1576</v>
      </c>
      <c r="B98" s="4" t="str">
        <f>VLOOKUP(A98,Insumos,2)</f>
        <v>canasta 1 (camión volcador)</v>
      </c>
      <c r="C98" s="6" t="str">
        <f>VLOOKUP(A98,Insumos,3)</f>
        <v>h</v>
      </c>
      <c r="D98" s="51">
        <v>0.2</v>
      </c>
      <c r="E98" s="4">
        <f>VLOOKUP(A98,'IN-10-14'!$A$5:$D$441,4)</f>
        <v>557.08467748239605</v>
      </c>
      <c r="F98" s="69">
        <f>(D98*E98)</f>
        <v>111.41693549647921</v>
      </c>
    </row>
    <row r="99" spans="1:7" ht="13.5" thickBot="1"/>
    <row r="100" spans="1:7" ht="13.5" thickTop="1">
      <c r="A100" s="75" t="s">
        <v>342</v>
      </c>
      <c r="B100" s="218" t="s">
        <v>177</v>
      </c>
      <c r="C100" s="77" t="str">
        <f>Fecha</f>
        <v>Oct-14</v>
      </c>
      <c r="D100" s="48"/>
      <c r="E100" s="48"/>
      <c r="F100" s="219">
        <f>SUM(F102:F107)</f>
        <v>2060.7575112639315</v>
      </c>
      <c r="G100" s="41"/>
    </row>
    <row r="101" spans="1:7" ht="13.5" thickBot="1">
      <c r="A101" s="7" t="s">
        <v>341</v>
      </c>
      <c r="B101" s="7" t="s">
        <v>1656</v>
      </c>
      <c r="C101" s="78" t="s">
        <v>340</v>
      </c>
      <c r="D101" s="49" t="s">
        <v>19</v>
      </c>
      <c r="E101" s="50"/>
      <c r="F101" s="68"/>
      <c r="G101" s="42" t="s">
        <v>343</v>
      </c>
    </row>
    <row r="102" spans="1:7" ht="13.5" thickTop="1">
      <c r="A102" s="82" t="s">
        <v>346</v>
      </c>
      <c r="D102" s="51"/>
      <c r="E102" s="51"/>
      <c r="F102" s="69"/>
    </row>
    <row r="103" spans="1:7">
      <c r="A103" s="3" t="s">
        <v>1611</v>
      </c>
      <c r="B103" s="4" t="str">
        <f>VLOOKUP(A103,'IN-10-14'!$A$5:$D$441,2)</f>
        <v>caño PVC 3.2 p/desague cloacal 0.110 x 4 m.</v>
      </c>
      <c r="C103" s="4" t="str">
        <f>VLOOKUP(A103,'IN-10-14'!$A$5:$D$441,3)</f>
        <v>m</v>
      </c>
      <c r="D103" s="51">
        <v>14.426</v>
      </c>
      <c r="E103" s="4">
        <f>VLOOKUP(A103,'IN-10-14'!$A$5:$D$441,4)</f>
        <v>68.687319935520009</v>
      </c>
      <c r="F103" s="69">
        <f>(D103*E103)</f>
        <v>990.88327738981161</v>
      </c>
    </row>
    <row r="104" spans="1:7">
      <c r="A104" s="82" t="s">
        <v>347</v>
      </c>
      <c r="D104" s="51"/>
      <c r="E104" s="4"/>
      <c r="F104" s="69"/>
    </row>
    <row r="105" spans="1:7">
      <c r="A105" s="3" t="s">
        <v>1607</v>
      </c>
      <c r="B105" s="4" t="str">
        <f>VLOOKUP(A105,Insumos,2)</f>
        <v>cuadrilla tipo U.G.A.T.S.</v>
      </c>
      <c r="C105" s="6" t="str">
        <f>VLOOKUP(A105,Insumos,3)</f>
        <v>h</v>
      </c>
      <c r="D105" s="51">
        <v>14</v>
      </c>
      <c r="E105" s="4">
        <f>VLOOKUP(A105,'IN-10-14'!$A$5:$D$441,4)</f>
        <v>74.430000000000007</v>
      </c>
      <c r="F105" s="69">
        <f>(D105*E105)</f>
        <v>1042.02</v>
      </c>
    </row>
    <row r="106" spans="1:7">
      <c r="A106" s="82" t="s">
        <v>348</v>
      </c>
      <c r="D106" s="51"/>
      <c r="E106" s="4"/>
      <c r="F106" s="69"/>
    </row>
    <row r="107" spans="1:7">
      <c r="A107" s="3" t="s">
        <v>1576</v>
      </c>
      <c r="B107" s="4" t="str">
        <f>VLOOKUP(A107,Insumos,2)</f>
        <v>canasta 1 (camión volcador)</v>
      </c>
      <c r="C107" s="6" t="str">
        <f>VLOOKUP(A107,Insumos,3)</f>
        <v>h</v>
      </c>
      <c r="D107" s="51">
        <v>0.05</v>
      </c>
      <c r="E107" s="4">
        <f>VLOOKUP(A107,'IN-10-14'!$A$5:$D$441,4)</f>
        <v>557.08467748239605</v>
      </c>
      <c r="F107" s="69">
        <f>(D107*E107)</f>
        <v>27.854233874119803</v>
      </c>
    </row>
    <row r="108" spans="1:7" ht="13.5" thickBot="1"/>
    <row r="109" spans="1:7" ht="13.5" thickTop="1">
      <c r="A109" s="75" t="s">
        <v>342</v>
      </c>
      <c r="B109" s="218" t="s">
        <v>325</v>
      </c>
      <c r="C109" s="77" t="str">
        <f>Fecha</f>
        <v>Oct-14</v>
      </c>
      <c r="D109" s="48"/>
      <c r="E109" s="48"/>
      <c r="F109" s="219">
        <f>SUM(F111:F119)</f>
        <v>12984.911752261112</v>
      </c>
      <c r="G109" s="41"/>
    </row>
    <row r="110" spans="1:7" ht="13.5" thickBot="1">
      <c r="A110" s="7" t="s">
        <v>341</v>
      </c>
      <c r="B110" s="7" t="s">
        <v>1656</v>
      </c>
      <c r="C110" s="78" t="s">
        <v>340</v>
      </c>
      <c r="D110" s="49" t="s">
        <v>326</v>
      </c>
      <c r="E110" s="50"/>
      <c r="F110" s="68"/>
      <c r="G110" s="42" t="s">
        <v>343</v>
      </c>
    </row>
    <row r="111" spans="1:7" ht="13.5" thickTop="1">
      <c r="A111" s="82" t="s">
        <v>346</v>
      </c>
      <c r="D111" s="51"/>
      <c r="E111" s="51"/>
      <c r="F111" s="69"/>
    </row>
    <row r="112" spans="1:7">
      <c r="A112" s="3" t="s">
        <v>1611</v>
      </c>
      <c r="B112" s="4" t="str">
        <f>VLOOKUP(A112,'IN-10-14'!$A$5:$D$441,2)</f>
        <v>caño PVC 3.2 p/desague cloacal 0.110 x 4 m.</v>
      </c>
      <c r="C112" s="4" t="str">
        <f>VLOOKUP(A112,'IN-10-14'!$A$5:$D$441,3)</f>
        <v>m</v>
      </c>
      <c r="D112" s="51">
        <v>11.35</v>
      </c>
      <c r="E112" s="4">
        <f>VLOOKUP(A112,'IN-10-14'!$A$5:$D$441,4)</f>
        <v>68.687319935520009</v>
      </c>
      <c r="F112" s="69">
        <f>(D112*E112)</f>
        <v>779.60108126815203</v>
      </c>
    </row>
    <row r="113" spans="1:7">
      <c r="A113" s="3" t="s">
        <v>1578</v>
      </c>
      <c r="B113" s="4" t="str">
        <f>VLOOKUP(A113,Insumos,2)</f>
        <v>cemento Portland</v>
      </c>
      <c r="C113" s="6" t="str">
        <f>VLOOKUP(A113,Insumos,3)</f>
        <v>kg</v>
      </c>
      <c r="D113" s="51">
        <f>+D114*300</f>
        <v>1896</v>
      </c>
      <c r="E113" s="4">
        <f>VLOOKUP(A113,'IN-10-14'!$A$5:$D$441,4)</f>
        <v>1.7372000000000001</v>
      </c>
      <c r="F113" s="69">
        <f>(D113*E113)</f>
        <v>3293.7312000000002</v>
      </c>
    </row>
    <row r="114" spans="1:7">
      <c r="A114" s="3" t="s">
        <v>1590</v>
      </c>
      <c r="B114" s="4" t="str">
        <f>VLOOKUP(A114,Insumos,2)</f>
        <v>ripiosa</v>
      </c>
      <c r="C114" s="6" t="str">
        <f>VLOOKUP(A114,Insumos,3)</f>
        <v>m3</v>
      </c>
      <c r="D114" s="51">
        <f>1.05+4.86+0.41</f>
        <v>6.32</v>
      </c>
      <c r="E114" s="4">
        <f>VLOOKUP(A114,'IN-10-14'!$A$5:$D$441,4)</f>
        <v>174.5</v>
      </c>
      <c r="F114" s="69">
        <f>(D114*E114)</f>
        <v>1102.8400000000001</v>
      </c>
    </row>
    <row r="115" spans="1:7">
      <c r="A115" s="3"/>
      <c r="B115" s="4"/>
      <c r="C115" s="6"/>
      <c r="D115" s="51"/>
      <c r="E115" s="4"/>
      <c r="F115" s="69"/>
    </row>
    <row r="116" spans="1:7">
      <c r="A116" s="82" t="s">
        <v>347</v>
      </c>
      <c r="D116" s="51"/>
      <c r="E116" s="4"/>
      <c r="F116" s="69"/>
    </row>
    <row r="117" spans="1:7">
      <c r="A117" s="3" t="s">
        <v>1607</v>
      </c>
      <c r="B117" s="4" t="str">
        <f>VLOOKUP(A117,Insumos,2)</f>
        <v>cuadrilla tipo U.G.A.T.S.</v>
      </c>
      <c r="C117" s="6" t="str">
        <f>VLOOKUP(A117,Insumos,3)</f>
        <v>h</v>
      </c>
      <c r="D117" s="51">
        <f>50+1+7.02+7.02+9.9+9.9+4.54+4.54+6+2</f>
        <v>101.92000000000002</v>
      </c>
      <c r="E117" s="4">
        <f>VLOOKUP(A117,'IN-10-14'!$A$5:$D$441,4)</f>
        <v>74.430000000000007</v>
      </c>
      <c r="F117" s="69">
        <f>(D117*E117)</f>
        <v>7585.9056000000019</v>
      </c>
    </row>
    <row r="118" spans="1:7">
      <c r="A118" s="82" t="s">
        <v>348</v>
      </c>
      <c r="D118" s="51"/>
      <c r="E118" s="4"/>
      <c r="F118" s="69"/>
    </row>
    <row r="119" spans="1:7">
      <c r="A119" s="3" t="s">
        <v>1576</v>
      </c>
      <c r="B119" s="4" t="str">
        <f>VLOOKUP(A119,Insumos,2)</f>
        <v>canasta 1 (camión volcador)</v>
      </c>
      <c r="C119" s="6" t="str">
        <f>VLOOKUP(A119,Insumos,3)</f>
        <v>h</v>
      </c>
      <c r="D119" s="51">
        <v>0.4</v>
      </c>
      <c r="E119" s="4">
        <f>VLOOKUP(A119,'IN-10-14'!$A$5:$D$441,4)</f>
        <v>557.08467748239605</v>
      </c>
      <c r="F119" s="69">
        <f>(D119*E119)</f>
        <v>222.83387099295842</v>
      </c>
    </row>
    <row r="120" spans="1:7" ht="13.5" thickBot="1"/>
    <row r="121" spans="1:7" ht="13.5" thickTop="1">
      <c r="A121" s="75" t="s">
        <v>342</v>
      </c>
      <c r="B121" s="218" t="s">
        <v>356</v>
      </c>
      <c r="C121" s="77" t="str">
        <f>Fecha</f>
        <v>Oct-14</v>
      </c>
      <c r="D121" s="48"/>
      <c r="E121" s="48"/>
      <c r="F121" s="219">
        <f>SUM(F123:F131)</f>
        <v>24344.474080363216</v>
      </c>
      <c r="G121" s="41"/>
    </row>
    <row r="122" spans="1:7" ht="13.5" thickBot="1">
      <c r="A122" s="7" t="s">
        <v>341</v>
      </c>
      <c r="B122" s="7" t="s">
        <v>1656</v>
      </c>
      <c r="C122" s="78" t="s">
        <v>340</v>
      </c>
      <c r="D122" s="49" t="s">
        <v>357</v>
      </c>
      <c r="E122" s="50"/>
      <c r="F122" s="68"/>
      <c r="G122" s="42" t="s">
        <v>343</v>
      </c>
    </row>
    <row r="123" spans="1:7" ht="13.5" thickTop="1">
      <c r="A123" s="82" t="s">
        <v>346</v>
      </c>
      <c r="D123" s="51"/>
      <c r="E123" s="51"/>
      <c r="F123" s="69"/>
    </row>
    <row r="124" spans="1:7">
      <c r="A124" s="3" t="s">
        <v>1611</v>
      </c>
      <c r="B124" s="4" t="str">
        <f>VLOOKUP(A124,'IN-10-14'!$A$5:$D$441,2)</f>
        <v>caño PVC 3.2 p/desague cloacal 0.110 x 4 m.</v>
      </c>
      <c r="C124" s="4" t="str">
        <f>VLOOKUP(A124,'IN-10-14'!$A$5:$D$441,3)</f>
        <v>m</v>
      </c>
      <c r="D124" s="51">
        <v>115.52</v>
      </c>
      <c r="E124" s="4">
        <f>VLOOKUP(A124,'IN-10-14'!$A$5:$D$441,4)</f>
        <v>68.687319935520009</v>
      </c>
      <c r="F124" s="69">
        <f>(D124*E124)</f>
        <v>7934.7591989512712</v>
      </c>
    </row>
    <row r="125" spans="1:7">
      <c r="A125" s="3" t="s">
        <v>1827</v>
      </c>
      <c r="B125" s="4" t="str">
        <f>VLOOKUP(A125,'IN-10-14'!$A$5:$D$441,2)</f>
        <v>caño PVC 3.2 p/desague cloacal 0.060 x 4 m.</v>
      </c>
      <c r="C125" s="4" t="str">
        <f>VLOOKUP(A125,'IN-10-14'!$A$5:$D$441,3)</f>
        <v>m</v>
      </c>
      <c r="D125" s="51">
        <v>22.387</v>
      </c>
      <c r="E125" s="4">
        <f>VLOOKUP(A125,'IN-10-14'!$A$5:$D$441,4)</f>
        <v>54.006997084559991</v>
      </c>
      <c r="F125" s="69">
        <f>(D125*E125)</f>
        <v>1209.0546437320445</v>
      </c>
    </row>
    <row r="126" spans="1:7">
      <c r="A126" s="3" t="s">
        <v>1828</v>
      </c>
      <c r="B126" s="4" t="str">
        <f>VLOOKUP(A126,'IN-10-14'!$A$5:$D$441,2)</f>
        <v>ramal Y PVC 0.110x0.63</v>
      </c>
      <c r="C126" s="4" t="str">
        <f>VLOOKUP(A126,'IN-10-14'!$A$5:$D$441,3)</f>
        <v>u</v>
      </c>
      <c r="D126" s="51">
        <v>147.78</v>
      </c>
      <c r="E126" s="4">
        <f>VLOOKUP(A126,'IN-10-14'!$A$5:$D$441,4)</f>
        <v>37.42</v>
      </c>
      <c r="F126" s="69">
        <f>(D126*E126)</f>
        <v>5529.9276</v>
      </c>
    </row>
    <row r="127" spans="1:7">
      <c r="A127" s="3" t="s">
        <v>1578</v>
      </c>
      <c r="B127" s="4" t="str">
        <f>VLOOKUP(A127,Insumos,2)</f>
        <v>cemento Portland</v>
      </c>
      <c r="C127" s="6" t="str">
        <f>VLOOKUP(A127,Insumos,3)</f>
        <v>kg</v>
      </c>
      <c r="D127" s="51">
        <v>62.927</v>
      </c>
      <c r="E127" s="4">
        <f>VLOOKUP(A127,'IN-10-14'!$A$5:$D$441,4)</f>
        <v>1.7372000000000001</v>
      </c>
      <c r="F127" s="69">
        <f>(D127*E127)</f>
        <v>109.3167844</v>
      </c>
    </row>
    <row r="128" spans="1:7">
      <c r="A128" s="82" t="s">
        <v>347</v>
      </c>
      <c r="D128" s="51"/>
      <c r="E128" s="4"/>
      <c r="F128" s="69"/>
    </row>
    <row r="129" spans="1:6">
      <c r="A129" s="3" t="s">
        <v>1607</v>
      </c>
      <c r="B129" s="4" t="str">
        <f>VLOOKUP(A129,Insumos,2)</f>
        <v>cuadrilla tipo U.G.A.T.S.</v>
      </c>
      <c r="C129" s="6" t="str">
        <f>VLOOKUP(A129,Insumos,3)</f>
        <v>h</v>
      </c>
      <c r="D129" s="51">
        <v>122.04</v>
      </c>
      <c r="E129" s="4">
        <f>VLOOKUP(A129,'IN-10-14'!$A$5:$D$441,4)</f>
        <v>74.430000000000007</v>
      </c>
      <c r="F129" s="69">
        <f>(D129*E129)</f>
        <v>9083.4372000000021</v>
      </c>
    </row>
    <row r="130" spans="1:6">
      <c r="A130" s="82" t="s">
        <v>348</v>
      </c>
      <c r="D130" s="51"/>
      <c r="E130" s="4"/>
      <c r="F130" s="69"/>
    </row>
    <row r="131" spans="1:6">
      <c r="A131" s="3" t="s">
        <v>1576</v>
      </c>
      <c r="B131" s="4" t="str">
        <f>VLOOKUP(A131,Insumos,2)</f>
        <v>canasta 1 (camión volcador)</v>
      </c>
      <c r="C131" s="6" t="str">
        <f>VLOOKUP(A131,Insumos,3)</f>
        <v>h</v>
      </c>
      <c r="D131" s="51">
        <v>0.85799999999999998</v>
      </c>
      <c r="E131" s="4">
        <f>VLOOKUP(A131,'IN-10-14'!$A$5:$D$441,4)</f>
        <v>557.08467748239605</v>
      </c>
      <c r="F131" s="69">
        <f>(D131*E131)</f>
        <v>477.97865327989581</v>
      </c>
    </row>
    <row r="231" spans="8:8">
      <c r="H231" s="88">
        <v>100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pageMargins left="0.78740157480314965" right="0.75" top="1.1811023622047245" bottom="0.98425196850393704" header="0" footer="0"/>
      <pageSetup paperSize="5" scale="8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8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5">
    <tabColor indexed="17"/>
  </sheetPr>
  <dimension ref="A1:I129"/>
  <sheetViews>
    <sheetView showGridLines="0" zoomScale="90" zoomScaleNormal="75" zoomScaleSheetLayoutView="75" workbookViewId="0">
      <selection activeCell="E7" sqref="E7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1658</v>
      </c>
      <c r="C2" s="77" t="str">
        <f>Fecha</f>
        <v>Oct-14</v>
      </c>
      <c r="D2" s="48"/>
      <c r="E2" s="48"/>
      <c r="F2" s="219">
        <f>SUM(F4:F13)</f>
        <v>9898.9174133992201</v>
      </c>
      <c r="G2" s="41"/>
    </row>
    <row r="3" spans="1:7" ht="13.5" thickBot="1">
      <c r="A3" s="7" t="s">
        <v>341</v>
      </c>
      <c r="B3" s="7" t="s">
        <v>1657</v>
      </c>
      <c r="C3" s="78" t="s">
        <v>340</v>
      </c>
      <c r="D3" s="49" t="s">
        <v>1847</v>
      </c>
      <c r="E3" s="50"/>
      <c r="F3" s="68"/>
      <c r="G3" s="42" t="s">
        <v>343</v>
      </c>
    </row>
    <row r="4" spans="1:7" ht="13.5" thickTop="1">
      <c r="A4" s="82" t="s">
        <v>346</v>
      </c>
      <c r="D4" s="51"/>
      <c r="E4" s="51"/>
      <c r="F4" s="69"/>
    </row>
    <row r="5" spans="1:7">
      <c r="A5" s="3" t="s">
        <v>1614</v>
      </c>
      <c r="B5" s="4" t="str">
        <f>VLOOKUP(A5,Insumos,2)</f>
        <v>caño de chapa galvanizada</v>
      </c>
      <c r="C5" s="6" t="str">
        <f>VLOOKUP(A5,Insumos,3)</f>
        <v>m</v>
      </c>
      <c r="D5" s="51">
        <v>5.77</v>
      </c>
      <c r="E5" s="51">
        <f>VLOOKUP(A5,'IN-10-14'!A6:D880,4)</f>
        <v>55.785123966942152</v>
      </c>
      <c r="F5" s="69">
        <f>(D5*E5)</f>
        <v>321.88016528925618</v>
      </c>
    </row>
    <row r="6" spans="1:7">
      <c r="A6" s="3" t="s">
        <v>1709</v>
      </c>
      <c r="B6" s="4" t="str">
        <f>VLOOKUP(A6,Insumos,2)</f>
        <v>codo epoxi 19 mm</v>
      </c>
      <c r="C6" s="6" t="str">
        <f>VLOOKUP(A6,Insumos,3)</f>
        <v>u</v>
      </c>
      <c r="D6" s="51">
        <v>29.54</v>
      </c>
      <c r="E6" s="51">
        <f>VLOOKUP(A6,'IN-10-14'!A7:D881,4)</f>
        <v>12.396694214876034</v>
      </c>
      <c r="F6" s="69">
        <f>(D6*E6)</f>
        <v>366.198347107438</v>
      </c>
    </row>
    <row r="7" spans="1:7">
      <c r="A7" s="3" t="s">
        <v>1708</v>
      </c>
      <c r="B7" s="4" t="str">
        <f>VLOOKUP(A7,Insumos,2)</f>
        <v>caño extruído 19 mm</v>
      </c>
      <c r="C7" s="6" t="str">
        <f>VLOOKUP(A7,Insumos,3)</f>
        <v>m</v>
      </c>
      <c r="D7" s="51">
        <v>18.600000000000001</v>
      </c>
      <c r="E7" s="51">
        <f>VLOOKUP(A7,'IN-10-14'!A8:D882,4)</f>
        <v>251.37150000000003</v>
      </c>
      <c r="F7" s="69">
        <f>(D7*E7)</f>
        <v>4675.5099000000009</v>
      </c>
    </row>
    <row r="8" spans="1:7">
      <c r="A8" s="3" t="s">
        <v>1612</v>
      </c>
      <c r="B8" s="4" t="str">
        <f>VLOOKUP(A8,Insumos,2)</f>
        <v>llave p/gas cromada 1/2"</v>
      </c>
      <c r="C8" s="6" t="str">
        <f>VLOOKUP(A8,Insumos,3)</f>
        <v>u</v>
      </c>
      <c r="D8" s="51">
        <v>3.33</v>
      </c>
      <c r="E8" s="51">
        <f>VLOOKUP(A8,'IN-10-14'!A9:D883,4)</f>
        <v>177.9325</v>
      </c>
      <c r="F8" s="69">
        <f>(D8*E8)</f>
        <v>592.51522499999999</v>
      </c>
    </row>
    <row r="9" spans="1:7">
      <c r="A9" s="3" t="s">
        <v>143</v>
      </c>
      <c r="B9" s="4" t="str">
        <f>VLOOKUP(A9,Insumos,2)</f>
        <v>gabinete medidor gas</v>
      </c>
      <c r="C9" s="6" t="str">
        <f>VLOOKUP(A9,Insumos,3)</f>
        <v>u</v>
      </c>
      <c r="D9" s="51">
        <v>1</v>
      </c>
      <c r="E9" s="51">
        <f>VLOOKUP(A9,'IN-10-14'!A10:D884,4)</f>
        <v>435.47107438016525</v>
      </c>
      <c r="F9" s="69">
        <f>(D9*E9)</f>
        <v>435.47107438016525</v>
      </c>
    </row>
    <row r="10" spans="1:7">
      <c r="A10" s="82" t="s">
        <v>347</v>
      </c>
      <c r="D10" s="51"/>
      <c r="E10" s="51"/>
      <c r="F10" s="69"/>
    </row>
    <row r="11" spans="1:7">
      <c r="A11" s="3" t="s">
        <v>1607</v>
      </c>
      <c r="B11" s="4" t="str">
        <f>VLOOKUP(A11,Insumos,2)</f>
        <v>cuadrilla tipo U.G.A.T.S.</v>
      </c>
      <c r="C11" s="6" t="str">
        <f>VLOOKUP(A11,Insumos,3)</f>
        <v>h</v>
      </c>
      <c r="D11" s="51">
        <v>46</v>
      </c>
      <c r="E11" s="51">
        <f>VLOOKUP(A11,'IN-10-14'!A12:D886,4)</f>
        <v>74.430000000000007</v>
      </c>
      <c r="F11" s="69">
        <f>(D11*E11)</f>
        <v>3423.78</v>
      </c>
    </row>
    <row r="12" spans="1:7">
      <c r="A12" s="82" t="s">
        <v>348</v>
      </c>
      <c r="D12" s="51"/>
      <c r="E12" s="51"/>
      <c r="F12" s="69"/>
    </row>
    <row r="13" spans="1:7">
      <c r="A13" s="3" t="s">
        <v>1576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VLOOKUP(A13,'IN-10-14'!A14:D888,4)</f>
        <v>557.08467748239605</v>
      </c>
      <c r="F13" s="69">
        <f>(D13*E13)</f>
        <v>83.562701622359398</v>
      </c>
    </row>
    <row r="14" spans="1:7" ht="13.5" thickBot="1"/>
    <row r="15" spans="1:7" ht="13.5" thickTop="1">
      <c r="A15" s="75" t="s">
        <v>342</v>
      </c>
      <c r="B15" s="218" t="s">
        <v>1783</v>
      </c>
      <c r="C15" s="77" t="str">
        <f>Fecha</f>
        <v>Oct-14</v>
      </c>
      <c r="D15" s="48"/>
      <c r="E15" s="48"/>
      <c r="F15" s="219">
        <f>SUM(F17:F28)</f>
        <v>12335.842692669972</v>
      </c>
      <c r="G15" s="41"/>
    </row>
    <row r="16" spans="1:7" ht="13.5" thickBot="1">
      <c r="A16" s="7" t="s">
        <v>341</v>
      </c>
      <c r="B16" s="7" t="s">
        <v>1657</v>
      </c>
      <c r="C16" s="78" t="s">
        <v>340</v>
      </c>
      <c r="D16" s="49" t="s">
        <v>1856</v>
      </c>
      <c r="E16" s="50"/>
      <c r="F16" s="68"/>
      <c r="G16" s="42" t="s">
        <v>343</v>
      </c>
    </row>
    <row r="17" spans="1:7" ht="13.5" thickTop="1">
      <c r="A17" s="82" t="s">
        <v>346</v>
      </c>
      <c r="D17" s="51"/>
      <c r="E17" s="51"/>
      <c r="F17" s="69"/>
    </row>
    <row r="18" spans="1:7">
      <c r="A18" s="3" t="s">
        <v>1829</v>
      </c>
      <c r="B18" s="4" t="str">
        <f t="shared" ref="B18:B24" si="0">VLOOKUP(A18,Insumos,2)</f>
        <v>componentes epoxi x 1/4lt.</v>
      </c>
      <c r="C18" s="6" t="str">
        <f t="shared" ref="C18:C24" si="1">VLOOKUP(A18,Insumos,3)</f>
        <v>u</v>
      </c>
      <c r="D18" s="51">
        <v>4.8</v>
      </c>
      <c r="E18" s="51">
        <f>VLOOKUP(A18,'IN-10-14'!A19:D893,4)</f>
        <v>80.165289256198349</v>
      </c>
      <c r="F18" s="69">
        <f t="shared" ref="F18:F24" si="2">(D18*E18)</f>
        <v>384.79338842975204</v>
      </c>
    </row>
    <row r="19" spans="1:7">
      <c r="A19" s="3" t="s">
        <v>1709</v>
      </c>
      <c r="B19" s="4" t="str">
        <f t="shared" si="0"/>
        <v>codo epoxi 19 mm</v>
      </c>
      <c r="C19" s="6" t="str">
        <f t="shared" si="1"/>
        <v>u</v>
      </c>
      <c r="D19" s="51">
        <v>28.5</v>
      </c>
      <c r="E19" s="51">
        <f>VLOOKUP(A19,'IN-10-14'!A20:D894,4)</f>
        <v>12.396694214876034</v>
      </c>
      <c r="F19" s="69">
        <f t="shared" si="2"/>
        <v>353.30578512396693</v>
      </c>
    </row>
    <row r="20" spans="1:7">
      <c r="A20" s="3" t="s">
        <v>1708</v>
      </c>
      <c r="B20" s="4" t="str">
        <f t="shared" si="0"/>
        <v>caño extruído 19 mm</v>
      </c>
      <c r="C20" s="6" t="str">
        <f t="shared" si="1"/>
        <v>m</v>
      </c>
      <c r="D20" s="51">
        <v>25.6</v>
      </c>
      <c r="E20" s="51">
        <f>VLOOKUP(A20,'IN-10-14'!A21:D895,4)</f>
        <v>251.37150000000003</v>
      </c>
      <c r="F20" s="69">
        <f t="shared" si="2"/>
        <v>6435.1104000000014</v>
      </c>
    </row>
    <row r="21" spans="1:7">
      <c r="A21" s="3" t="s">
        <v>1613</v>
      </c>
      <c r="B21" s="4" t="str">
        <f t="shared" si="0"/>
        <v>regulador y flexible p/gas natural</v>
      </c>
      <c r="C21" s="6" t="str">
        <f t="shared" si="1"/>
        <v>u</v>
      </c>
      <c r="D21" s="51">
        <v>1</v>
      </c>
      <c r="E21" s="51">
        <f>VLOOKUP(A21,'IN-10-14'!A22:D896,4)</f>
        <v>288.71141250000005</v>
      </c>
      <c r="F21" s="69">
        <f t="shared" si="2"/>
        <v>288.71141250000005</v>
      </c>
    </row>
    <row r="22" spans="1:7">
      <c r="A22" s="3" t="s">
        <v>143</v>
      </c>
      <c r="B22" s="4" t="str">
        <f t="shared" si="0"/>
        <v>gabinete medidor gas</v>
      </c>
      <c r="C22" s="6" t="str">
        <f t="shared" si="1"/>
        <v>u</v>
      </c>
      <c r="D22" s="51">
        <v>1</v>
      </c>
      <c r="E22" s="51">
        <f>VLOOKUP(A22,'IN-10-14'!A23:D897,4)</f>
        <v>435.47107438016525</v>
      </c>
      <c r="F22" s="69">
        <f t="shared" si="2"/>
        <v>435.47107438016525</v>
      </c>
    </row>
    <row r="23" spans="1:7">
      <c r="A23" s="3" t="s">
        <v>1612</v>
      </c>
      <c r="B23" s="4" t="str">
        <f t="shared" si="0"/>
        <v>llave p/gas cromada 1/2"</v>
      </c>
      <c r="C23" s="6" t="str">
        <f t="shared" si="1"/>
        <v>u</v>
      </c>
      <c r="D23" s="51">
        <v>3.33</v>
      </c>
      <c r="E23" s="51">
        <f>VLOOKUP(A23,'IN-10-14'!A24:D898,4)</f>
        <v>177.9325</v>
      </c>
      <c r="F23" s="69">
        <f t="shared" si="2"/>
        <v>592.51522499999999</v>
      </c>
    </row>
    <row r="24" spans="1:7">
      <c r="A24" s="3" t="s">
        <v>1614</v>
      </c>
      <c r="B24" s="4" t="str">
        <f t="shared" si="0"/>
        <v>caño de chapa galvanizada</v>
      </c>
      <c r="C24" s="6" t="str">
        <f t="shared" si="1"/>
        <v>m</v>
      </c>
      <c r="D24" s="51">
        <v>5.77</v>
      </c>
      <c r="E24" s="51">
        <f>VLOOKUP(A24,'IN-10-14'!A25:D899,4)</f>
        <v>55.785123966942152</v>
      </c>
      <c r="F24" s="69">
        <f t="shared" si="2"/>
        <v>321.88016528925618</v>
      </c>
    </row>
    <row r="25" spans="1:7">
      <c r="A25" s="82" t="s">
        <v>347</v>
      </c>
      <c r="D25" s="51"/>
      <c r="E25" s="51"/>
      <c r="F25" s="69"/>
    </row>
    <row r="26" spans="1:7">
      <c r="A26" s="3" t="s">
        <v>1607</v>
      </c>
      <c r="B26" s="4" t="str">
        <f>VLOOKUP(A26,Insumos,2)</f>
        <v>cuadrilla tipo U.G.A.T.S.</v>
      </c>
      <c r="C26" s="6" t="str">
        <f>VLOOKUP(A26,Insumos,3)</f>
        <v>h</v>
      </c>
      <c r="D26" s="51">
        <v>46</v>
      </c>
      <c r="E26" s="51">
        <f>VLOOKUP(A26,'IN-10-14'!A27:D901,4)</f>
        <v>74.430000000000007</v>
      </c>
      <c r="F26" s="69">
        <f>(D26*E26)</f>
        <v>3423.78</v>
      </c>
    </row>
    <row r="27" spans="1:7">
      <c r="A27" s="82" t="s">
        <v>348</v>
      </c>
      <c r="D27" s="51"/>
      <c r="E27" s="51"/>
      <c r="F27" s="69"/>
    </row>
    <row r="28" spans="1:7">
      <c r="A28" s="3" t="s">
        <v>1576</v>
      </c>
      <c r="B28" s="4" t="str">
        <f>VLOOKUP(A28,Insumos,2)</f>
        <v>canasta 1 (camión volcador)</v>
      </c>
      <c r="C28" s="6" t="str">
        <f>VLOOKUP(A28,Insumos,3)</f>
        <v>h</v>
      </c>
      <c r="D28" s="51">
        <v>0.18</v>
      </c>
      <c r="E28" s="51">
        <f>VLOOKUP(A28,'IN-10-14'!A29:D903,4)</f>
        <v>557.08467748239605</v>
      </c>
      <c r="F28" s="69">
        <f>(D28*E28)</f>
        <v>100.27524194683129</v>
      </c>
    </row>
    <row r="29" spans="1:7" ht="13.5" thickBot="1"/>
    <row r="30" spans="1:7" ht="13.5" thickTop="1">
      <c r="A30" s="75" t="s">
        <v>342</v>
      </c>
      <c r="B30" s="218" t="s">
        <v>1659</v>
      </c>
      <c r="C30" s="77" t="str">
        <f>Fecha</f>
        <v>Oct-14</v>
      </c>
      <c r="D30" s="48"/>
      <c r="E30" s="48"/>
      <c r="F30" s="219">
        <f>SUM(F32:F42)</f>
        <v>171610.93800501677</v>
      </c>
      <c r="G30" s="41"/>
    </row>
    <row r="31" spans="1:7" ht="13.5" thickBot="1">
      <c r="A31" s="7" t="s">
        <v>341</v>
      </c>
      <c r="B31" s="7" t="s">
        <v>1657</v>
      </c>
      <c r="C31" s="78" t="s">
        <v>340</v>
      </c>
      <c r="D31" s="49" t="s">
        <v>1710</v>
      </c>
      <c r="E31" s="50"/>
      <c r="F31" s="68"/>
      <c r="G31" s="42" t="s">
        <v>343</v>
      </c>
    </row>
    <row r="32" spans="1:7" ht="13.5" thickTop="1">
      <c r="A32" s="82" t="s">
        <v>346</v>
      </c>
      <c r="D32" s="51"/>
      <c r="E32" s="51"/>
      <c r="F32" s="69"/>
    </row>
    <row r="33" spans="1:7">
      <c r="A33" s="3" t="s">
        <v>1614</v>
      </c>
      <c r="B33" s="4" t="str">
        <f t="shared" ref="B33:B38" si="3">VLOOKUP(A33,Insumos,2)</f>
        <v>caño de chapa galvanizada</v>
      </c>
      <c r="C33" s="6" t="str">
        <f t="shared" ref="C33:C38" si="4">VLOOKUP(A33,Insumos,3)</f>
        <v>m</v>
      </c>
      <c r="D33" s="51">
        <v>103.441</v>
      </c>
      <c r="E33" s="51">
        <f>VLOOKUP(A33,'IN-10-14'!A34:D908,4)</f>
        <v>55.785123966942152</v>
      </c>
      <c r="F33" s="69">
        <f t="shared" ref="F33:F38" si="5">(D33*E33)</f>
        <v>5770.4690082644629</v>
      </c>
    </row>
    <row r="34" spans="1:7">
      <c r="A34" s="3" t="s">
        <v>1709</v>
      </c>
      <c r="B34" s="4" t="str">
        <f t="shared" si="3"/>
        <v>codo epoxi 19 mm</v>
      </c>
      <c r="C34" s="6" t="str">
        <f t="shared" si="4"/>
        <v>u</v>
      </c>
      <c r="D34" s="51">
        <v>367.221</v>
      </c>
      <c r="E34" s="51">
        <f>VLOOKUP(A34,'IN-10-14'!A35:D909,4)</f>
        <v>12.396694214876034</v>
      </c>
      <c r="F34" s="69">
        <f t="shared" si="5"/>
        <v>4552.3264462809921</v>
      </c>
    </row>
    <row r="35" spans="1:7">
      <c r="A35" s="3" t="s">
        <v>1708</v>
      </c>
      <c r="B35" s="4" t="str">
        <f t="shared" si="3"/>
        <v>caño extruído 19 mm</v>
      </c>
      <c r="C35" s="6" t="str">
        <f t="shared" si="4"/>
        <v>m</v>
      </c>
      <c r="D35" s="51">
        <v>324.37099999999998</v>
      </c>
      <c r="E35" s="51">
        <f>VLOOKUP(A35,'IN-10-14'!A36:D910,4)</f>
        <v>251.37150000000003</v>
      </c>
      <c r="F35" s="69">
        <f t="shared" si="5"/>
        <v>81537.624826500003</v>
      </c>
    </row>
    <row r="36" spans="1:7">
      <c r="A36" s="3" t="s">
        <v>1612</v>
      </c>
      <c r="B36" s="4" t="str">
        <f t="shared" si="3"/>
        <v>llave p/gas cromada 1/2"</v>
      </c>
      <c r="C36" s="6" t="str">
        <f t="shared" si="4"/>
        <v>u</v>
      </c>
      <c r="D36" s="51">
        <v>156.19300000000001</v>
      </c>
      <c r="E36" s="51">
        <f>VLOOKUP(A36,'IN-10-14'!A37:D911,4)</f>
        <v>177.9325</v>
      </c>
      <c r="F36" s="69">
        <f t="shared" si="5"/>
        <v>27791.810972500003</v>
      </c>
    </row>
    <row r="37" spans="1:7">
      <c r="A37" s="3" t="s">
        <v>1829</v>
      </c>
      <c r="B37" s="4" t="str">
        <f t="shared" si="3"/>
        <v>componentes epoxi x 1/4lt.</v>
      </c>
      <c r="C37" s="6" t="str">
        <f t="shared" si="4"/>
        <v>u</v>
      </c>
      <c r="D37" s="51">
        <v>70.497</v>
      </c>
      <c r="E37" s="51">
        <f>VLOOKUP(A37,'IN-10-14'!A38:D912,4)</f>
        <v>80.165289256198349</v>
      </c>
      <c r="F37" s="69">
        <f t="shared" si="5"/>
        <v>5651.4123966942152</v>
      </c>
    </row>
    <row r="38" spans="1:7">
      <c r="A38" s="3" t="s">
        <v>143</v>
      </c>
      <c r="B38" s="4" t="str">
        <f t="shared" si="3"/>
        <v>gabinete medidor gas</v>
      </c>
      <c r="C38" s="6" t="str">
        <f t="shared" si="4"/>
        <v>u</v>
      </c>
      <c r="D38" s="51">
        <v>9.4640000000000004</v>
      </c>
      <c r="E38" s="51">
        <f>VLOOKUP(A38,'IN-10-14'!A39:D913,4)</f>
        <v>435.47107438016525</v>
      </c>
      <c r="F38" s="69">
        <f t="shared" si="5"/>
        <v>4121.2982479338843</v>
      </c>
    </row>
    <row r="39" spans="1:7">
      <c r="A39" s="82" t="s">
        <v>347</v>
      </c>
      <c r="D39" s="51"/>
      <c r="E39" s="51"/>
      <c r="F39" s="69"/>
    </row>
    <row r="40" spans="1:7">
      <c r="A40" s="3" t="s">
        <v>1607</v>
      </c>
      <c r="B40" s="4" t="str">
        <f>VLOOKUP(A40,Insumos,2)</f>
        <v>cuadrilla tipo U.G.A.T.S.</v>
      </c>
      <c r="C40" s="6" t="str">
        <f>VLOOKUP(A40,Insumos,3)</f>
        <v>h</v>
      </c>
      <c r="D40" s="51">
        <v>539.44600000000003</v>
      </c>
      <c r="E40" s="51">
        <f>VLOOKUP(A40,'IN-10-14'!A41:D915,4)</f>
        <v>74.430000000000007</v>
      </c>
      <c r="F40" s="69">
        <f>(D40*E40)</f>
        <v>40150.965780000006</v>
      </c>
    </row>
    <row r="41" spans="1:7">
      <c r="A41" s="82" t="s">
        <v>348</v>
      </c>
      <c r="D41" s="51"/>
      <c r="E41" s="51"/>
      <c r="F41" s="69"/>
    </row>
    <row r="42" spans="1:7">
      <c r="A42" s="3" t="s">
        <v>1576</v>
      </c>
      <c r="B42" s="4" t="str">
        <f>VLOOKUP(A42,Insumos,2)</f>
        <v>canasta 1 (camión volcador)</v>
      </c>
      <c r="C42" s="6" t="str">
        <f>VLOOKUP(A42,Insumos,3)</f>
        <v>h</v>
      </c>
      <c r="D42" s="51">
        <v>3.653</v>
      </c>
      <c r="E42" s="51">
        <f>VLOOKUP(A42,'IN-10-14'!A43:D917,4)</f>
        <v>557.08467748239605</v>
      </c>
      <c r="F42" s="69">
        <f>(D42*E42)</f>
        <v>2035.0303268431928</v>
      </c>
    </row>
    <row r="43" spans="1:7" ht="13.5" thickBot="1"/>
    <row r="44" spans="1:7" ht="13.5" thickTop="1">
      <c r="A44" s="75" t="s">
        <v>342</v>
      </c>
      <c r="B44" s="218" t="s">
        <v>1660</v>
      </c>
      <c r="C44" s="77" t="str">
        <f>Fecha</f>
        <v>Oct-14</v>
      </c>
      <c r="D44" s="48"/>
      <c r="E44" s="48"/>
      <c r="F44" s="219">
        <f>SUM(F46:F53)</f>
        <v>7784.3796109103132</v>
      </c>
      <c r="G44" s="41"/>
    </row>
    <row r="45" spans="1:7" ht="13.5" thickBot="1">
      <c r="A45" s="7" t="s">
        <v>341</v>
      </c>
      <c r="B45" s="7" t="s">
        <v>1661</v>
      </c>
      <c r="C45" s="78" t="s">
        <v>340</v>
      </c>
      <c r="D45" s="49" t="s">
        <v>1693</v>
      </c>
      <c r="E45" s="50"/>
      <c r="F45" s="68"/>
      <c r="G45" s="42" t="s">
        <v>343</v>
      </c>
    </row>
    <row r="46" spans="1:7" ht="13.5" thickTop="1">
      <c r="A46" s="82" t="s">
        <v>346</v>
      </c>
      <c r="D46" s="51"/>
      <c r="E46" s="51"/>
      <c r="F46" s="69"/>
    </row>
    <row r="47" spans="1:7">
      <c r="A47" s="3" t="s">
        <v>1615</v>
      </c>
      <c r="B47" s="4" t="str">
        <f>VLOOKUP(A47,Insumos,2)</f>
        <v>cocina 4 hornallas</v>
      </c>
      <c r="C47" s="6" t="str">
        <f>VLOOKUP(A47,Insumos,3)</f>
        <v>u</v>
      </c>
      <c r="D47" s="51">
        <v>1</v>
      </c>
      <c r="E47" s="51">
        <f>VLOOKUP(A47,'IN-10-14'!A48:D922,4)</f>
        <v>2717.93046</v>
      </c>
      <c r="F47" s="69">
        <f>(D47*E47)</f>
        <v>2717.93046</v>
      </c>
    </row>
    <row r="48" spans="1:7">
      <c r="A48" s="3" t="s">
        <v>1616</v>
      </c>
      <c r="B48" s="4" t="str">
        <f>VLOOKUP(A48,Insumos,2)</f>
        <v>calefón 14 litros blanco</v>
      </c>
      <c r="C48" s="6" t="str">
        <f>VLOOKUP(A48,Insumos,3)</f>
        <v>u</v>
      </c>
      <c r="D48" s="51">
        <v>1</v>
      </c>
      <c r="E48" s="51">
        <f>VLOOKUP(A48,'IN-10-14'!A49:D923,4)</f>
        <v>2453.1260699999998</v>
      </c>
      <c r="F48" s="69">
        <f>(D48*E48)</f>
        <v>2453.1260699999998</v>
      </c>
    </row>
    <row r="49" spans="1:7">
      <c r="A49" s="3" t="s">
        <v>1617</v>
      </c>
      <c r="B49" s="4" t="str">
        <f>VLOOKUP(A49,Insumos,2)</f>
        <v>calefactor TB 3800 calorias</v>
      </c>
      <c r="C49" s="6" t="str">
        <f>VLOOKUP(A49,Insumos,3)</f>
        <v>u</v>
      </c>
      <c r="D49" s="51">
        <v>1</v>
      </c>
      <c r="E49" s="51">
        <f>VLOOKUP(A49,'IN-10-14'!A50:D924,4)</f>
        <v>1610.4628099173556</v>
      </c>
      <c r="F49" s="69">
        <f>(D49*E49)</f>
        <v>1610.4628099173556</v>
      </c>
    </row>
    <row r="50" spans="1:7">
      <c r="A50" s="82" t="s">
        <v>347</v>
      </c>
      <c r="D50" s="51"/>
      <c r="E50" s="51"/>
      <c r="F50" s="69"/>
    </row>
    <row r="51" spans="1:7">
      <c r="A51" s="3" t="s">
        <v>1607</v>
      </c>
      <c r="B51" s="4" t="str">
        <f>VLOOKUP(A51,Insumos,2)</f>
        <v>cuadrilla tipo U.G.A.T.S.</v>
      </c>
      <c r="C51" s="6" t="str">
        <f>VLOOKUP(A51,Insumos,3)</f>
        <v>h</v>
      </c>
      <c r="D51" s="51">
        <v>10.48</v>
      </c>
      <c r="E51" s="51">
        <f>VLOOKUP(A51,'IN-10-14'!A52:D926,4)</f>
        <v>74.430000000000007</v>
      </c>
      <c r="F51" s="69">
        <f>(D51*E51)</f>
        <v>780.02640000000008</v>
      </c>
    </row>
    <row r="52" spans="1:7">
      <c r="A52" s="82" t="s">
        <v>348</v>
      </c>
      <c r="D52" s="51"/>
      <c r="E52" s="51"/>
      <c r="F52" s="69"/>
    </row>
    <row r="53" spans="1:7">
      <c r="A53" s="3" t="s">
        <v>1576</v>
      </c>
      <c r="B53" s="4" t="str">
        <f>VLOOKUP(A53,Insumos,2)</f>
        <v>canasta 1 (camión volcador)</v>
      </c>
      <c r="C53" s="6" t="str">
        <f>VLOOKUP(A53,Insumos,3)</f>
        <v>h</v>
      </c>
      <c r="D53" s="51">
        <v>0.4</v>
      </c>
      <c r="E53" s="51">
        <f>VLOOKUP(A53,'IN-10-14'!A54:D928,4)</f>
        <v>557.08467748239605</v>
      </c>
      <c r="F53" s="69">
        <f>(D53*E53)</f>
        <v>222.83387099295842</v>
      </c>
    </row>
    <row r="55" spans="1:7" ht="13.5" thickBot="1"/>
    <row r="56" spans="1:7" ht="13.5" thickTop="1">
      <c r="A56" s="75" t="s">
        <v>342</v>
      </c>
      <c r="B56" s="218" t="s">
        <v>336</v>
      </c>
      <c r="C56" s="77" t="str">
        <f>Fecha</f>
        <v>Oct-14</v>
      </c>
      <c r="D56" s="48"/>
      <c r="E56" s="48"/>
      <c r="F56" s="219">
        <f>SUM(F58:F72)</f>
        <v>20142.50569067958</v>
      </c>
      <c r="G56" s="41"/>
    </row>
    <row r="57" spans="1:7" ht="13.5" thickBot="1">
      <c r="A57" s="7" t="s">
        <v>341</v>
      </c>
      <c r="B57" s="7" t="s">
        <v>1657</v>
      </c>
      <c r="C57" s="78" t="s">
        <v>340</v>
      </c>
      <c r="D57" s="49" t="s">
        <v>337</v>
      </c>
      <c r="E57" s="50"/>
      <c r="F57" s="68"/>
      <c r="G57" s="42" t="s">
        <v>343</v>
      </c>
    </row>
    <row r="58" spans="1:7" ht="13.5" thickTop="1">
      <c r="A58" s="82" t="s">
        <v>346</v>
      </c>
      <c r="D58" s="51"/>
      <c r="E58" s="51"/>
      <c r="F58" s="69"/>
    </row>
    <row r="59" spans="1:7">
      <c r="A59" s="3" t="s">
        <v>1829</v>
      </c>
      <c r="B59" s="4" t="str">
        <f t="shared" ref="B59:B65" si="6">VLOOKUP(A59,Insumos,2)</f>
        <v>componentes epoxi x 1/4lt.</v>
      </c>
      <c r="C59" s="6" t="str">
        <f t="shared" ref="C59:C65" si="7">VLOOKUP(A59,Insumos,3)</f>
        <v>u</v>
      </c>
      <c r="D59" s="51">
        <v>4.8</v>
      </c>
      <c r="E59" s="51">
        <f>VLOOKUP(A59,'IN-10-14'!A60:D934,4)</f>
        <v>80.165289256198349</v>
      </c>
      <c r="F59" s="69">
        <f t="shared" ref="F59:F68" si="8">(D59*E59)</f>
        <v>384.79338842975204</v>
      </c>
    </row>
    <row r="60" spans="1:7">
      <c r="A60" s="3" t="s">
        <v>1709</v>
      </c>
      <c r="B60" s="4" t="str">
        <f t="shared" si="6"/>
        <v>codo epoxi 19 mm</v>
      </c>
      <c r="C60" s="6" t="str">
        <f t="shared" si="7"/>
        <v>u</v>
      </c>
      <c r="D60" s="51">
        <v>28.5</v>
      </c>
      <c r="E60" s="51">
        <f>VLOOKUP(A60,'IN-10-14'!A61:D935,4)</f>
        <v>12.396694214876034</v>
      </c>
      <c r="F60" s="69">
        <f t="shared" si="8"/>
        <v>353.30578512396693</v>
      </c>
    </row>
    <row r="61" spans="1:7">
      <c r="A61" s="3" t="s">
        <v>1708</v>
      </c>
      <c r="B61" s="4" t="str">
        <f t="shared" si="6"/>
        <v>caño extruído 19 mm</v>
      </c>
      <c r="C61" s="6" t="str">
        <f t="shared" si="7"/>
        <v>m</v>
      </c>
      <c r="D61" s="51">
        <v>25.6</v>
      </c>
      <c r="E61" s="51">
        <f>VLOOKUP(A61,'IN-10-14'!A62:D936,4)</f>
        <v>251.37150000000003</v>
      </c>
      <c r="F61" s="69">
        <f t="shared" si="8"/>
        <v>6435.1104000000014</v>
      </c>
    </row>
    <row r="62" spans="1:7">
      <c r="A62" s="3" t="s">
        <v>1613</v>
      </c>
      <c r="B62" s="4" t="str">
        <f t="shared" si="6"/>
        <v>regulador y flexible p/gas natural</v>
      </c>
      <c r="C62" s="6" t="str">
        <f t="shared" si="7"/>
        <v>u</v>
      </c>
      <c r="D62" s="51">
        <v>1</v>
      </c>
      <c r="E62" s="51">
        <f>VLOOKUP(A62,'IN-10-14'!A63:D937,4)</f>
        <v>288.71141250000005</v>
      </c>
      <c r="F62" s="69">
        <f t="shared" si="8"/>
        <v>288.71141250000005</v>
      </c>
    </row>
    <row r="63" spans="1:7">
      <c r="A63" s="3" t="s">
        <v>143</v>
      </c>
      <c r="B63" s="4" t="str">
        <f t="shared" si="6"/>
        <v>gabinete medidor gas</v>
      </c>
      <c r="C63" s="6" t="str">
        <f t="shared" si="7"/>
        <v>u</v>
      </c>
      <c r="D63" s="51">
        <v>1</v>
      </c>
      <c r="E63" s="51">
        <f>VLOOKUP(A63,'IN-10-14'!A64:D938,4)</f>
        <v>435.47107438016525</v>
      </c>
      <c r="F63" s="69">
        <f t="shared" si="8"/>
        <v>435.47107438016525</v>
      </c>
    </row>
    <row r="64" spans="1:7">
      <c r="A64" s="3" t="s">
        <v>1612</v>
      </c>
      <c r="B64" s="4" t="str">
        <f t="shared" si="6"/>
        <v>llave p/gas cromada 1/2"</v>
      </c>
      <c r="C64" s="6" t="str">
        <f t="shared" si="7"/>
        <v>u</v>
      </c>
      <c r="D64" s="51">
        <v>3.33</v>
      </c>
      <c r="E64" s="51">
        <f>VLOOKUP(A64,'IN-10-14'!A65:D939,4)</f>
        <v>177.9325</v>
      </c>
      <c r="F64" s="69">
        <f t="shared" si="8"/>
        <v>592.51522499999999</v>
      </c>
    </row>
    <row r="65" spans="1:9">
      <c r="A65" s="3" t="s">
        <v>1614</v>
      </c>
      <c r="B65" s="4" t="str">
        <f t="shared" si="6"/>
        <v>caño de chapa galvanizada</v>
      </c>
      <c r="C65" s="6" t="str">
        <f t="shared" si="7"/>
        <v>m</v>
      </c>
      <c r="D65" s="51">
        <v>5.77</v>
      </c>
      <c r="E65" s="51">
        <f>VLOOKUP(A65,'IN-10-14'!A66:D940,4)</f>
        <v>55.785123966942152</v>
      </c>
      <c r="F65" s="69">
        <f t="shared" si="8"/>
        <v>321.88016528925618</v>
      </c>
    </row>
    <row r="66" spans="1:9">
      <c r="A66" s="3" t="s">
        <v>1615</v>
      </c>
      <c r="B66" s="4" t="str">
        <f>VLOOKUP(A66,Insumos,2)</f>
        <v>cocina 4 hornallas</v>
      </c>
      <c r="C66" s="6" t="str">
        <f>VLOOKUP(A66,Insumos,3)</f>
        <v>u</v>
      </c>
      <c r="D66" s="51">
        <v>1</v>
      </c>
      <c r="E66" s="51">
        <f>VLOOKUP(A66,'IN-10-14'!A67:D941,4)</f>
        <v>2717.93046</v>
      </c>
      <c r="F66" s="69">
        <f t="shared" si="8"/>
        <v>2717.93046</v>
      </c>
    </row>
    <row r="67" spans="1:9">
      <c r="A67" s="3" t="s">
        <v>1616</v>
      </c>
      <c r="B67" s="4" t="str">
        <f>VLOOKUP(A67,Insumos,2)</f>
        <v>calefón 14 litros blanco</v>
      </c>
      <c r="C67" s="6" t="str">
        <f>VLOOKUP(A67,Insumos,3)</f>
        <v>u</v>
      </c>
      <c r="D67" s="51">
        <v>1</v>
      </c>
      <c r="E67" s="51">
        <f>VLOOKUP(A67,'IN-10-14'!A68:D942,4)</f>
        <v>2453.1260699999998</v>
      </c>
      <c r="F67" s="69">
        <f t="shared" si="8"/>
        <v>2453.1260699999998</v>
      </c>
    </row>
    <row r="68" spans="1:9">
      <c r="A68" s="3" t="s">
        <v>1617</v>
      </c>
      <c r="B68" s="4" t="str">
        <f>VLOOKUP(A68,Insumos,2)</f>
        <v>calefactor TB 3800 calorias</v>
      </c>
      <c r="C68" s="6" t="str">
        <f>VLOOKUP(A68,Insumos,3)</f>
        <v>u</v>
      </c>
      <c r="D68" s="51">
        <v>1</v>
      </c>
      <c r="E68" s="51">
        <f>VLOOKUP(A68,'IN-10-14'!A69:D943,4)</f>
        <v>1610.4628099173556</v>
      </c>
      <c r="F68" s="69">
        <f t="shared" si="8"/>
        <v>1610.4628099173556</v>
      </c>
    </row>
    <row r="69" spans="1:9">
      <c r="A69" s="82" t="s">
        <v>347</v>
      </c>
      <c r="D69" s="51"/>
      <c r="E69" s="51"/>
      <c r="F69" s="69"/>
    </row>
    <row r="70" spans="1:9">
      <c r="A70" s="3" t="s">
        <v>1607</v>
      </c>
      <c r="B70" s="4" t="str">
        <f>VLOOKUP(A70,Insumos,2)</f>
        <v>cuadrilla tipo U.G.A.T.S.</v>
      </c>
      <c r="C70" s="6" t="str">
        <f>VLOOKUP(A70,Insumos,3)</f>
        <v>h</v>
      </c>
      <c r="D70" s="51">
        <f>46+D51</f>
        <v>56.480000000000004</v>
      </c>
      <c r="E70" s="51">
        <f>VLOOKUP(A70,'IN-10-14'!A71:D945,4)</f>
        <v>74.430000000000007</v>
      </c>
      <c r="F70" s="69">
        <f>(D70*E70)</f>
        <v>4203.8064000000004</v>
      </c>
    </row>
    <row r="71" spans="1:9">
      <c r="A71" s="82" t="s">
        <v>348</v>
      </c>
      <c r="D71" s="51"/>
      <c r="E71" s="51"/>
      <c r="F71" s="69"/>
    </row>
    <row r="72" spans="1:9">
      <c r="A72" s="3" t="s">
        <v>1576</v>
      </c>
      <c r="B72" s="4" t="str">
        <f>VLOOKUP(A72,Insumos,2)</f>
        <v>canasta 1 (camión volcador)</v>
      </c>
      <c r="C72" s="6" t="str">
        <f>VLOOKUP(A72,Insumos,3)</f>
        <v>h</v>
      </c>
      <c r="D72" s="51">
        <v>0.62</v>
      </c>
      <c r="E72" s="51">
        <f>VLOOKUP(A72,'IN-10-14'!A73:D947,4)</f>
        <v>557.08467748239605</v>
      </c>
      <c r="F72" s="69">
        <f>(D72*E72)</f>
        <v>345.39250003908552</v>
      </c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02" spans="1:9" ht="15">
      <c r="A102"/>
      <c r="B102"/>
      <c r="C102"/>
      <c r="D102"/>
      <c r="E102"/>
      <c r="F102"/>
      <c r="G102"/>
      <c r="H102"/>
      <c r="I102"/>
    </row>
    <row r="103" spans="1:9" ht="15">
      <c r="A103"/>
      <c r="B103"/>
      <c r="C103"/>
      <c r="D103"/>
      <c r="E103"/>
      <c r="F103"/>
      <c r="G103"/>
      <c r="H103"/>
      <c r="I103"/>
    </row>
    <row r="104" spans="1:9" ht="15">
      <c r="A104"/>
      <c r="B104"/>
      <c r="C104"/>
      <c r="D104"/>
      <c r="E104"/>
      <c r="F104"/>
      <c r="G104"/>
      <c r="H104"/>
      <c r="I104"/>
    </row>
    <row r="105" spans="1:9" ht="15">
      <c r="A105"/>
      <c r="B105"/>
      <c r="C105"/>
      <c r="D105"/>
      <c r="E105"/>
      <c r="F105"/>
      <c r="G105"/>
      <c r="H105"/>
      <c r="I105"/>
    </row>
    <row r="106" spans="1:9" ht="15">
      <c r="A106"/>
      <c r="B106"/>
      <c r="C106"/>
      <c r="D106"/>
      <c r="E106"/>
      <c r="F106"/>
      <c r="G106"/>
      <c r="H106"/>
      <c r="I106"/>
    </row>
    <row r="107" spans="1:9" ht="15">
      <c r="A107"/>
      <c r="B107"/>
      <c r="C107"/>
      <c r="D107"/>
      <c r="E107"/>
      <c r="F107"/>
      <c r="G107"/>
      <c r="H107"/>
      <c r="I107"/>
    </row>
    <row r="108" spans="1:9" ht="15">
      <c r="A108"/>
      <c r="B108"/>
      <c r="C108"/>
      <c r="D108"/>
      <c r="E108"/>
      <c r="F108"/>
      <c r="G108"/>
      <c r="H108"/>
      <c r="I108"/>
    </row>
    <row r="109" spans="1:9" ht="15">
      <c r="A109"/>
      <c r="B109"/>
      <c r="C109"/>
      <c r="D109"/>
      <c r="E109"/>
      <c r="F109"/>
      <c r="G109"/>
      <c r="H109"/>
      <c r="I109"/>
    </row>
    <row r="110" spans="1:9" ht="15">
      <c r="A110"/>
      <c r="B110"/>
      <c r="C110"/>
      <c r="D110"/>
      <c r="E110"/>
      <c r="F110"/>
      <c r="G110"/>
      <c r="H110"/>
      <c r="I110"/>
    </row>
    <row r="111" spans="1:9" ht="15">
      <c r="A111"/>
      <c r="B111"/>
      <c r="C111"/>
      <c r="D111"/>
      <c r="E111"/>
      <c r="F111"/>
      <c r="G111"/>
      <c r="H111"/>
      <c r="I111"/>
    </row>
    <row r="112" spans="1:9" ht="15">
      <c r="A112"/>
      <c r="B112"/>
      <c r="C112"/>
      <c r="D112"/>
      <c r="E112"/>
      <c r="F112"/>
      <c r="G112"/>
      <c r="H112"/>
      <c r="I112"/>
    </row>
    <row r="113" spans="1:9" ht="15">
      <c r="A113"/>
      <c r="B113"/>
      <c r="C113"/>
      <c r="D113"/>
      <c r="E113"/>
      <c r="F113"/>
      <c r="G113"/>
      <c r="H113"/>
      <c r="I113"/>
    </row>
    <row r="114" spans="1:9" ht="15">
      <c r="A114"/>
      <c r="B114"/>
      <c r="C114"/>
      <c r="D114"/>
      <c r="E114"/>
      <c r="F114"/>
      <c r="G114"/>
      <c r="H114"/>
      <c r="I114"/>
    </row>
    <row r="115" spans="1:9" ht="15">
      <c r="A115"/>
      <c r="B115"/>
      <c r="C115"/>
      <c r="D115"/>
      <c r="E115"/>
      <c r="F115"/>
      <c r="G115"/>
      <c r="H115"/>
      <c r="I115"/>
    </row>
    <row r="116" spans="1:9" ht="15">
      <c r="A116"/>
      <c r="B116"/>
      <c r="C116"/>
      <c r="D116"/>
      <c r="E116"/>
      <c r="F116"/>
      <c r="G116"/>
      <c r="H116"/>
      <c r="I116"/>
    </row>
    <row r="117" spans="1:9" ht="15">
      <c r="A117"/>
      <c r="B117"/>
      <c r="C117"/>
      <c r="D117"/>
      <c r="E117"/>
      <c r="F117"/>
      <c r="G117"/>
      <c r="H117"/>
      <c r="I117"/>
    </row>
    <row r="118" spans="1:9" ht="15">
      <c r="A118"/>
      <c r="B118"/>
      <c r="C118"/>
      <c r="D118"/>
      <c r="E118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15">
      <c r="A120"/>
      <c r="B120"/>
      <c r="C120"/>
      <c r="D120"/>
      <c r="E120"/>
      <c r="F120"/>
      <c r="G120"/>
      <c r="H120"/>
      <c r="I120"/>
    </row>
    <row r="121" spans="1:9" ht="15">
      <c r="A121"/>
      <c r="B121"/>
      <c r="C121"/>
      <c r="D121"/>
      <c r="E121"/>
      <c r="F121"/>
      <c r="G121"/>
      <c r="H121"/>
      <c r="I121"/>
    </row>
    <row r="122" spans="1:9" ht="15">
      <c r="A122"/>
      <c r="B122"/>
      <c r="C122"/>
      <c r="D122"/>
      <c r="E122"/>
      <c r="F122"/>
      <c r="G122"/>
      <c r="H122"/>
      <c r="I122"/>
    </row>
    <row r="123" spans="1:9" ht="15">
      <c r="A123"/>
      <c r="B123"/>
      <c r="C123"/>
      <c r="D123"/>
      <c r="E123"/>
      <c r="F123"/>
      <c r="G123"/>
      <c r="H123"/>
      <c r="I123"/>
    </row>
    <row r="124" spans="1:9" ht="15">
      <c r="A124"/>
      <c r="B124"/>
      <c r="C124"/>
      <c r="D124"/>
      <c r="E124"/>
      <c r="F124"/>
      <c r="G124"/>
      <c r="H124"/>
      <c r="I124"/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</sheetData>
  <customSheetViews>
    <customSheetView guid="{0D76B64C-AC04-4788-917D-4511FD9E9090}" showPageBreaks="1" showGridLines="0" printArea="1" hiddenColumns="1" showRuler="0" topLeftCell="A23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 topLeftCell="A23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A19" sqref="A19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6">
    <tabColor indexed="47"/>
  </sheetPr>
  <dimension ref="A1:I99"/>
  <sheetViews>
    <sheetView showGridLines="0" zoomScale="90" zoomScaleNormal="75" zoomScaleSheetLayoutView="75" workbookViewId="0">
      <selection activeCell="C25" sqref="C25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/>
    <row r="2" spans="1:7" ht="13.5" thickTop="1">
      <c r="A2" s="75" t="s">
        <v>342</v>
      </c>
      <c r="B2" s="218" t="s">
        <v>1662</v>
      </c>
      <c r="C2" s="77" t="str">
        <f>Fecha</f>
        <v>Oct-14</v>
      </c>
      <c r="D2" s="48"/>
      <c r="E2" s="48"/>
      <c r="F2" s="219">
        <f>SUM(F4:F13)</f>
        <v>8375.7814596703593</v>
      </c>
      <c r="G2" s="41"/>
    </row>
    <row r="3" spans="1:7" ht="13.5" thickBot="1">
      <c r="A3" s="7" t="s">
        <v>341</v>
      </c>
      <c r="B3" s="7" t="s">
        <v>1663</v>
      </c>
      <c r="C3" s="78" t="s">
        <v>340</v>
      </c>
      <c r="D3" s="49" t="s">
        <v>1694</v>
      </c>
      <c r="E3" s="50"/>
      <c r="F3" s="68"/>
      <c r="G3" s="42" t="s">
        <v>343</v>
      </c>
    </row>
    <row r="4" spans="1:7" ht="13.5" thickTop="1">
      <c r="A4" s="82" t="s">
        <v>346</v>
      </c>
      <c r="D4" s="51"/>
      <c r="E4" s="51"/>
      <c r="F4" s="69"/>
    </row>
    <row r="5" spans="1:7">
      <c r="A5" s="3" t="s">
        <v>1509</v>
      </c>
      <c r="B5" s="4" t="e">
        <f>VLOOKUP(A5,Insumos,2)</f>
        <v>#VALUE!</v>
      </c>
      <c r="C5" s="6" t="e">
        <f>VLOOKUP(A5,Insumos,3)</f>
        <v>#VALUE!</v>
      </c>
      <c r="D5" s="51">
        <v>63.72</v>
      </c>
      <c r="E5" s="51">
        <f>VLOOKUP(A5,'IN-10-14'!A6:D880,4)</f>
        <v>47.61054</v>
      </c>
      <c r="F5" s="69">
        <f>(D5*E5)</f>
        <v>3033.7436087999999</v>
      </c>
    </row>
    <row r="6" spans="1:7">
      <c r="A6" s="3" t="s">
        <v>1505</v>
      </c>
      <c r="B6" s="4" t="e">
        <f>VLOOKUP(A6,Insumos,2)</f>
        <v>#VALUE!</v>
      </c>
      <c r="C6" s="6" t="e">
        <f>VLOOKUP(A6,Insumos,3)</f>
        <v>#VALUE!</v>
      </c>
      <c r="D6" s="51">
        <v>53.35</v>
      </c>
      <c r="E6" s="51">
        <f>VLOOKUP(A6,'IN-10-14'!A7:D881,4)</f>
        <v>5.593</v>
      </c>
      <c r="F6" s="69">
        <f>(D6*E6)</f>
        <v>298.38655</v>
      </c>
    </row>
    <row r="7" spans="1:7">
      <c r="A7" s="3" t="s">
        <v>1521</v>
      </c>
      <c r="B7" s="4" t="e">
        <f>VLOOKUP(A7,Insumos,2)</f>
        <v>#VALUE!</v>
      </c>
      <c r="C7" s="6" t="e">
        <f>VLOOKUP(A7,Insumos,3)</f>
        <v>#VALUE!</v>
      </c>
      <c r="D7" s="51">
        <v>13.73</v>
      </c>
      <c r="E7" s="51">
        <f>VLOOKUP(A7,'IN-10-14'!A8:D882,4)</f>
        <v>27.7007376</v>
      </c>
      <c r="F7" s="69">
        <f>(D7*E7)</f>
        <v>380.33112724800003</v>
      </c>
    </row>
    <row r="8" spans="1:7">
      <c r="A8" s="3" t="s">
        <v>1514</v>
      </c>
      <c r="B8" s="4" t="e">
        <f>VLOOKUP(A8,Insumos,2)</f>
        <v>#VALUE!</v>
      </c>
      <c r="C8" s="6" t="e">
        <f>VLOOKUP(A8,Insumos,3)</f>
        <v>#VALUE!</v>
      </c>
      <c r="D8" s="51">
        <v>4.9000000000000004</v>
      </c>
      <c r="E8" s="51">
        <f>VLOOKUP(A8,'IN-10-14'!A9:D883,4)</f>
        <v>46.739280000000001</v>
      </c>
      <c r="F8" s="69">
        <f>(D8*E8)</f>
        <v>229.02247200000002</v>
      </c>
    </row>
    <row r="9" spans="1:7">
      <c r="A9" s="3" t="s">
        <v>1498</v>
      </c>
      <c r="B9" s="4" t="e">
        <f>VLOOKUP(A9,Insumos,2)</f>
        <v>#VALUE!</v>
      </c>
      <c r="C9" s="6" t="e">
        <f>VLOOKUP(A9,Insumos,3)</f>
        <v>#VALUE!</v>
      </c>
      <c r="D9" s="51">
        <v>132.75</v>
      </c>
      <c r="E9" s="51">
        <f>VLOOKUP(A9,'IN-10-14'!A10:D884,4)</f>
        <v>4.74</v>
      </c>
      <c r="F9" s="69">
        <f>(D9*E9)</f>
        <v>629.23500000000001</v>
      </c>
    </row>
    <row r="10" spans="1:7">
      <c r="A10" s="82" t="s">
        <v>347</v>
      </c>
      <c r="D10" s="51"/>
      <c r="E10" s="51"/>
      <c r="F10" s="69"/>
    </row>
    <row r="11" spans="1:7">
      <c r="A11" s="3" t="s">
        <v>1607</v>
      </c>
      <c r="B11" s="4" t="str">
        <f>VLOOKUP(A11,Insumos,2)</f>
        <v>cuadrilla tipo U.G.A.T.S.</v>
      </c>
      <c r="C11" s="6" t="str">
        <f>VLOOKUP(A11,Insumos,3)</f>
        <v>h</v>
      </c>
      <c r="D11" s="51">
        <v>50</v>
      </c>
      <c r="E11" s="51">
        <f>VLOOKUP(A11,'IN-10-14'!A12:D886,4)</f>
        <v>74.430000000000007</v>
      </c>
      <c r="F11" s="69">
        <f>(D11*E11)</f>
        <v>3721.5000000000005</v>
      </c>
    </row>
    <row r="12" spans="1:7">
      <c r="A12" s="82" t="s">
        <v>348</v>
      </c>
      <c r="D12" s="51"/>
      <c r="E12" s="51"/>
      <c r="F12" s="69"/>
    </row>
    <row r="13" spans="1:7">
      <c r="A13" s="3" t="s">
        <v>1576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VLOOKUP(A13,'IN-10-14'!A14:D888,4)</f>
        <v>557.08467748239605</v>
      </c>
      <c r="F13" s="69">
        <f>(D13*E13)</f>
        <v>83.562701622359398</v>
      </c>
    </row>
    <row r="14" spans="1:7" ht="13.5" thickBot="1"/>
    <row r="15" spans="1:7" ht="13.5" thickTop="1">
      <c r="A15" s="75" t="s">
        <v>342</v>
      </c>
      <c r="B15" s="218" t="s">
        <v>1664</v>
      </c>
      <c r="C15" s="77" t="str">
        <f>Fecha</f>
        <v>Oct-14</v>
      </c>
      <c r="D15" s="48"/>
      <c r="E15" s="48"/>
      <c r="F15" s="219">
        <f>SUM(F17:F27)</f>
        <v>112473.78190306942</v>
      </c>
      <c r="G15" s="41"/>
    </row>
    <row r="16" spans="1:7" ht="13.5" thickBot="1">
      <c r="A16" s="7" t="s">
        <v>341</v>
      </c>
      <c r="B16" s="7" t="s">
        <v>1663</v>
      </c>
      <c r="C16" s="78" t="s">
        <v>340</v>
      </c>
      <c r="D16" s="49" t="s">
        <v>362</v>
      </c>
      <c r="E16" s="50"/>
      <c r="F16" s="68"/>
      <c r="G16" s="42" t="s">
        <v>343</v>
      </c>
    </row>
    <row r="17" spans="1:7" ht="13.5" thickTop="1">
      <c r="A17" s="82" t="s">
        <v>346</v>
      </c>
      <c r="D17" s="51"/>
      <c r="E17" s="51"/>
      <c r="F17" s="69"/>
    </row>
    <row r="18" spans="1:7">
      <c r="A18" s="3" t="s">
        <v>1509</v>
      </c>
      <c r="B18" s="4" t="e">
        <f t="shared" ref="B18:B23" si="0">VLOOKUP(A18,Insumos,2)</f>
        <v>#VALUE!</v>
      </c>
      <c r="C18" s="6" t="e">
        <f t="shared" ref="C18:C23" si="1">VLOOKUP(A18,Insumos,3)</f>
        <v>#VALUE!</v>
      </c>
      <c r="D18" s="51">
        <v>472.62</v>
      </c>
      <c r="E18" s="51">
        <f>VLOOKUP(A18,'IN-10-14'!A19:D893,4)</f>
        <v>47.61054</v>
      </c>
      <c r="F18" s="69">
        <f t="shared" ref="F18:F23" si="2">(D18*E18)</f>
        <v>22501.6934148</v>
      </c>
    </row>
    <row r="19" spans="1:7">
      <c r="A19" s="3" t="s">
        <v>1505</v>
      </c>
      <c r="B19" s="4" t="e">
        <f t="shared" si="0"/>
        <v>#VALUE!</v>
      </c>
      <c r="C19" s="6" t="e">
        <f t="shared" si="1"/>
        <v>#VALUE!</v>
      </c>
      <c r="D19" s="51">
        <v>576.33199999999999</v>
      </c>
      <c r="E19" s="51">
        <f>VLOOKUP(A19,'IN-10-14'!A20:D894,4)</f>
        <v>5.593</v>
      </c>
      <c r="F19" s="69">
        <f t="shared" si="2"/>
        <v>3223.424876</v>
      </c>
    </row>
    <row r="20" spans="1:7">
      <c r="A20" s="3" t="s">
        <v>1529</v>
      </c>
      <c r="B20" s="4" t="e">
        <f t="shared" si="0"/>
        <v>#VALUE!</v>
      </c>
      <c r="C20" s="6" t="e">
        <f t="shared" si="1"/>
        <v>#VALUE!</v>
      </c>
      <c r="D20" s="51">
        <v>1.742</v>
      </c>
      <c r="E20" s="51">
        <f>VLOOKUP(A20,'IN-10-14'!A21:D895,4)</f>
        <v>18360</v>
      </c>
      <c r="F20" s="69">
        <f t="shared" si="2"/>
        <v>31983.119999999999</v>
      </c>
    </row>
    <row r="21" spans="1:7">
      <c r="A21" s="3" t="s">
        <v>1521</v>
      </c>
      <c r="B21" s="4" t="e">
        <f t="shared" si="0"/>
        <v>#VALUE!</v>
      </c>
      <c r="C21" s="6" t="e">
        <f t="shared" si="1"/>
        <v>#VALUE!</v>
      </c>
      <c r="D21" s="51">
        <v>146.85</v>
      </c>
      <c r="E21" s="51">
        <f>VLOOKUP(A21,'IN-10-14'!A22:D896,4)</f>
        <v>27.7007376</v>
      </c>
      <c r="F21" s="69">
        <f t="shared" si="2"/>
        <v>4067.8533165599997</v>
      </c>
    </row>
    <row r="22" spans="1:7">
      <c r="A22" s="3" t="s">
        <v>1514</v>
      </c>
      <c r="B22" s="4" t="e">
        <f t="shared" si="0"/>
        <v>#VALUE!</v>
      </c>
      <c r="C22" s="6" t="e">
        <f t="shared" si="1"/>
        <v>#VALUE!</v>
      </c>
      <c r="D22" s="51">
        <v>373.02</v>
      </c>
      <c r="E22" s="51">
        <f>VLOOKUP(A22,'IN-10-14'!A23:D897,4)</f>
        <v>46.739280000000001</v>
      </c>
      <c r="F22" s="69">
        <f t="shared" si="2"/>
        <v>17434.686225599999</v>
      </c>
    </row>
    <row r="23" spans="1:7">
      <c r="A23" s="3" t="s">
        <v>1498</v>
      </c>
      <c r="B23" s="4" t="e">
        <f t="shared" si="0"/>
        <v>#VALUE!</v>
      </c>
      <c r="C23" s="6" t="e">
        <f t="shared" si="1"/>
        <v>#VALUE!</v>
      </c>
      <c r="D23" s="51">
        <v>2082.3249999999998</v>
      </c>
      <c r="E23" s="51">
        <f>VLOOKUP(A23,'IN-10-14'!A24:D898,4)</f>
        <v>4.74</v>
      </c>
      <c r="F23" s="69">
        <f t="shared" si="2"/>
        <v>9870.2204999999994</v>
      </c>
    </row>
    <row r="24" spans="1:7">
      <c r="A24" s="82" t="s">
        <v>347</v>
      </c>
      <c r="D24" s="51"/>
      <c r="E24" s="51"/>
      <c r="F24" s="69"/>
    </row>
    <row r="25" spans="1:7">
      <c r="A25" s="3" t="s">
        <v>1607</v>
      </c>
      <c r="B25" s="4" t="str">
        <f>VLOOKUP(A25,Insumos,2)</f>
        <v>cuadrilla tipo U.G.A.T.S.</v>
      </c>
      <c r="C25" s="6" t="str">
        <f>VLOOKUP(A25,Insumos,3)</f>
        <v>h</v>
      </c>
      <c r="D25" s="51">
        <v>301.29899999999998</v>
      </c>
      <c r="E25" s="51">
        <f>VLOOKUP(A25,'IN-10-14'!A26:D900,4)</f>
        <v>74.430000000000007</v>
      </c>
      <c r="F25" s="69">
        <f>(D25*E25)</f>
        <v>22425.684570000001</v>
      </c>
    </row>
    <row r="26" spans="1:7">
      <c r="A26" s="82" t="s">
        <v>348</v>
      </c>
      <c r="D26" s="51"/>
      <c r="E26" s="51"/>
      <c r="F26" s="69"/>
    </row>
    <row r="27" spans="1:7">
      <c r="A27" s="3" t="s">
        <v>1576</v>
      </c>
      <c r="B27" s="4" t="str">
        <f>VLOOKUP(A27,Insumos,2)</f>
        <v>canasta 1 (camión volcador)</v>
      </c>
      <c r="C27" s="6" t="str">
        <f>VLOOKUP(A27,Insumos,3)</f>
        <v>h</v>
      </c>
      <c r="D27" s="51">
        <v>1.736</v>
      </c>
      <c r="E27" s="51">
        <f>VLOOKUP(A27,'IN-10-14'!A28:D902,4)</f>
        <v>557.08467748239605</v>
      </c>
      <c r="F27" s="69">
        <f>(D27*E27)</f>
        <v>967.09900010943954</v>
      </c>
    </row>
    <row r="28" spans="1:7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342</v>
      </c>
      <c r="B29" s="218" t="s">
        <v>1815</v>
      </c>
      <c r="C29" s="77" t="str">
        <f>Fecha</f>
        <v>Oct-14</v>
      </c>
      <c r="D29" s="48"/>
      <c r="E29" s="48"/>
      <c r="F29" s="219">
        <f>SUM(F31:F42)</f>
        <v>8688.3966017333078</v>
      </c>
      <c r="G29" s="41"/>
    </row>
    <row r="30" spans="1:7" ht="13.5" thickBot="1">
      <c r="A30" s="7" t="s">
        <v>341</v>
      </c>
      <c r="B30" s="7" t="s">
        <v>1663</v>
      </c>
      <c r="C30" s="78" t="s">
        <v>340</v>
      </c>
      <c r="D30" s="49" t="s">
        <v>1832</v>
      </c>
      <c r="E30" s="50"/>
      <c r="F30" s="68"/>
      <c r="G30" s="42" t="s">
        <v>343</v>
      </c>
    </row>
    <row r="31" spans="1:7" ht="13.5" thickTop="1">
      <c r="A31" s="82" t="s">
        <v>346</v>
      </c>
      <c r="D31" s="51"/>
      <c r="E31" s="51"/>
      <c r="F31" s="69"/>
    </row>
    <row r="32" spans="1:7">
      <c r="A32" s="3" t="s">
        <v>179</v>
      </c>
      <c r="B32" s="4" t="str">
        <f t="shared" ref="B32:B38" si="3">VLOOKUP(A32,Insumos,2)</f>
        <v>pilar de luz simple completo</v>
      </c>
      <c r="C32" s="6" t="str">
        <f t="shared" ref="C32:C38" si="4">VLOOKUP(A32,Insumos,3)</f>
        <v>u</v>
      </c>
      <c r="D32" s="51">
        <v>1</v>
      </c>
      <c r="E32" s="51">
        <f>VLOOKUP(A32,'IN-10-14'!A33:D907,4)</f>
        <v>700</v>
      </c>
      <c r="F32" s="69">
        <f t="shared" ref="F32:F38" si="5">(D32*E32)</f>
        <v>700</v>
      </c>
    </row>
    <row r="33" spans="1:9">
      <c r="A33" s="3" t="s">
        <v>1495</v>
      </c>
      <c r="B33" s="4" t="e">
        <f t="shared" si="3"/>
        <v>#VALUE!</v>
      </c>
      <c r="C33" s="6" t="e">
        <f t="shared" si="4"/>
        <v>#VALUE!</v>
      </c>
      <c r="D33" s="51">
        <v>3.6</v>
      </c>
      <c r="E33" s="51">
        <f>VLOOKUP(A33,'IN-10-14'!A34:D908,4)</f>
        <v>91.337603305785123</v>
      </c>
      <c r="F33" s="69">
        <f t="shared" si="5"/>
        <v>328.81537190082645</v>
      </c>
    </row>
    <row r="34" spans="1:9">
      <c r="A34" s="3" t="s">
        <v>1505</v>
      </c>
      <c r="B34" s="4" t="e">
        <f t="shared" si="3"/>
        <v>#VALUE!</v>
      </c>
      <c r="C34" s="6" t="e">
        <f t="shared" si="4"/>
        <v>#VALUE!</v>
      </c>
      <c r="D34" s="51">
        <v>44</v>
      </c>
      <c r="E34" s="51">
        <f>VLOOKUP(A34,'IN-10-14'!A35:D909,4)</f>
        <v>5.593</v>
      </c>
      <c r="F34" s="69">
        <f t="shared" si="5"/>
        <v>246.09199999999998</v>
      </c>
    </row>
    <row r="35" spans="1:9">
      <c r="A35" s="3" t="s">
        <v>1509</v>
      </c>
      <c r="B35" s="4" t="e">
        <f t="shared" si="3"/>
        <v>#VALUE!</v>
      </c>
      <c r="C35" s="6" t="e">
        <f t="shared" si="4"/>
        <v>#VALUE!</v>
      </c>
      <c r="D35" s="51">
        <v>33</v>
      </c>
      <c r="E35" s="51">
        <f>VLOOKUP(A35,'IN-10-14'!A36:D910,4)</f>
        <v>47.61054</v>
      </c>
      <c r="F35" s="69">
        <f t="shared" si="5"/>
        <v>1571.1478199999999</v>
      </c>
    </row>
    <row r="36" spans="1:9">
      <c r="A36" s="3" t="s">
        <v>1521</v>
      </c>
      <c r="B36" s="4" t="e">
        <f t="shared" si="3"/>
        <v>#VALUE!</v>
      </c>
      <c r="C36" s="6" t="e">
        <f t="shared" si="4"/>
        <v>#VALUE!</v>
      </c>
      <c r="D36" s="51">
        <v>21.36</v>
      </c>
      <c r="E36" s="51">
        <f>VLOOKUP(A36,'IN-10-14'!A37:D911,4)</f>
        <v>27.7007376</v>
      </c>
      <c r="F36" s="69">
        <f t="shared" si="5"/>
        <v>591.68775513599996</v>
      </c>
    </row>
    <row r="37" spans="1:9">
      <c r="A37" s="3" t="s">
        <v>1514</v>
      </c>
      <c r="B37" s="4" t="e">
        <f t="shared" si="3"/>
        <v>#VALUE!</v>
      </c>
      <c r="C37" s="6" t="e">
        <f t="shared" si="4"/>
        <v>#VALUE!</v>
      </c>
      <c r="D37" s="51">
        <v>25.39</v>
      </c>
      <c r="E37" s="51">
        <f>VLOOKUP(A37,'IN-10-14'!A38:D912,4)</f>
        <v>46.739280000000001</v>
      </c>
      <c r="F37" s="69">
        <f t="shared" si="5"/>
        <v>1186.7103192</v>
      </c>
    </row>
    <row r="38" spans="1:9">
      <c r="A38" s="3" t="s">
        <v>1498</v>
      </c>
      <c r="B38" s="4" t="e">
        <f t="shared" si="3"/>
        <v>#VALUE!</v>
      </c>
      <c r="C38" s="6" t="e">
        <f t="shared" si="4"/>
        <v>#VALUE!</v>
      </c>
      <c r="D38" s="51">
        <v>174.36</v>
      </c>
      <c r="E38" s="51">
        <f>VLOOKUP(A38,'IN-10-14'!A39:D913,4)</f>
        <v>4.74</v>
      </c>
      <c r="F38" s="69">
        <f t="shared" si="5"/>
        <v>826.46640000000014</v>
      </c>
    </row>
    <row r="39" spans="1:9">
      <c r="A39" s="82" t="s">
        <v>347</v>
      </c>
      <c r="D39" s="51"/>
      <c r="E39" s="51"/>
      <c r="F39" s="69"/>
    </row>
    <row r="40" spans="1:9">
      <c r="A40" s="3" t="s">
        <v>1607</v>
      </c>
      <c r="B40" s="4" t="str">
        <f>VLOOKUP(A40,Insumos,2)</f>
        <v>cuadrilla tipo U.G.A.T.S.</v>
      </c>
      <c r="C40" s="6" t="str">
        <f>VLOOKUP(A40,Insumos,3)</f>
        <v>h</v>
      </c>
      <c r="D40" s="51">
        <v>42</v>
      </c>
      <c r="E40" s="51">
        <f>VLOOKUP(A40,'IN-10-14'!A41:D915,4)</f>
        <v>74.430000000000007</v>
      </c>
      <c r="F40" s="69">
        <f>(D40*E40)</f>
        <v>3126.0600000000004</v>
      </c>
    </row>
    <row r="41" spans="1:9">
      <c r="A41" s="82" t="s">
        <v>348</v>
      </c>
      <c r="D41" s="51"/>
      <c r="E41" s="51"/>
      <c r="F41" s="69"/>
    </row>
    <row r="42" spans="1:9">
      <c r="A42" s="3" t="s">
        <v>1576</v>
      </c>
      <c r="B42" s="4" t="str">
        <f>VLOOKUP(A42,Insumos,2)</f>
        <v>canasta 1 (camión volcador)</v>
      </c>
      <c r="C42" s="6" t="str">
        <f>VLOOKUP(A42,Insumos,3)</f>
        <v>h</v>
      </c>
      <c r="D42" s="51">
        <v>0.2</v>
      </c>
      <c r="E42" s="51">
        <f>VLOOKUP(A42,'IN-10-14'!A43:D917,4)</f>
        <v>557.08467748239605</v>
      </c>
      <c r="F42" s="69">
        <f>(D42*E42)</f>
        <v>111.41693549647921</v>
      </c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A58" sqref="A58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7">
    <tabColor indexed="9"/>
  </sheetPr>
  <dimension ref="A1:G78"/>
  <sheetViews>
    <sheetView showGridLines="0" zoomScale="90" zoomScaleNormal="75" zoomScaleSheetLayoutView="75" workbookViewId="0">
      <selection activeCell="E81" sqref="E81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1665</v>
      </c>
      <c r="C2" s="77" t="str">
        <f>Fecha</f>
        <v>Oct-14</v>
      </c>
      <c r="D2" s="48"/>
      <c r="E2" s="48"/>
      <c r="F2" s="219">
        <f>SUM(F5:F12)</f>
        <v>57.018627016223604</v>
      </c>
      <c r="G2" s="41"/>
    </row>
    <row r="3" spans="1:7" ht="13.5" thickBot="1">
      <c r="A3" s="7" t="s">
        <v>341</v>
      </c>
      <c r="B3" s="7" t="s">
        <v>1666</v>
      </c>
      <c r="C3" s="78" t="s">
        <v>340</v>
      </c>
      <c r="D3" s="49" t="s">
        <v>1695</v>
      </c>
      <c r="E3" s="50"/>
      <c r="F3" s="68"/>
      <c r="G3" s="42" t="s">
        <v>1876</v>
      </c>
    </row>
    <row r="4" spans="1:7" ht="5.0999999999999996" customHeight="1" thickTop="1">
      <c r="D4" s="51"/>
      <c r="E4" s="51"/>
      <c r="F4" s="69"/>
    </row>
    <row r="5" spans="1:7">
      <c r="A5" s="82" t="s">
        <v>346</v>
      </c>
      <c r="D5" s="51"/>
      <c r="E5" s="51"/>
      <c r="F5" s="69"/>
    </row>
    <row r="6" spans="1:7">
      <c r="A6" s="3" t="s">
        <v>1618</v>
      </c>
      <c r="B6" s="4" t="str">
        <f>VLOOKUP(A6,Insumos,2)</f>
        <v>pintura al latex - lata 20 lts,</v>
      </c>
      <c r="C6" s="6" t="str">
        <f>VLOOKUP(A6,Insumos,3)</f>
        <v>u</v>
      </c>
      <c r="D6" s="51">
        <v>1.2500000000000001E-2</v>
      </c>
      <c r="E6" s="51">
        <f>VLOOKUP(A6,'IN-10-14'!A6:D880,4)</f>
        <v>736.7371900826447</v>
      </c>
      <c r="F6" s="69">
        <f>(D6*E6)</f>
        <v>9.2092148760330588</v>
      </c>
    </row>
    <row r="7" spans="1:7">
      <c r="A7" s="3" t="s">
        <v>71</v>
      </c>
      <c r="B7" s="4" t="str">
        <f>VLOOKUP(A7,Insumos,2)</f>
        <v>fijador al agua</v>
      </c>
      <c r="C7" s="6" t="str">
        <f>VLOOKUP(A7,Insumos,3)</f>
        <v>l</v>
      </c>
      <c r="D7" s="51">
        <v>6.7000000000000004E-2</v>
      </c>
      <c r="E7" s="51">
        <f>VLOOKUP(A7,'IN-10-14'!A7:D881,4)</f>
        <v>37.504132231404959</v>
      </c>
      <c r="F7" s="69">
        <f>(D7*E7)</f>
        <v>2.5127768595041324</v>
      </c>
    </row>
    <row r="8" spans="1:7">
      <c r="A8" s="3" t="s">
        <v>1711</v>
      </c>
      <c r="B8" s="4" t="str">
        <f>VLOOKUP(A8,Insumos,2)</f>
        <v>enduído plástico</v>
      </c>
      <c r="C8" s="6" t="str">
        <f>VLOOKUP(A8,Insumos,3)</f>
        <v>l</v>
      </c>
      <c r="D8" s="51">
        <v>0.34</v>
      </c>
      <c r="E8" s="51">
        <f>VLOOKUP(A8,'IN-10-14'!A8:D882,4)</f>
        <v>36.473553719008265</v>
      </c>
      <c r="F8" s="69">
        <f>(D8*E8)</f>
        <v>12.401008264462812</v>
      </c>
    </row>
    <row r="9" spans="1:7">
      <c r="A9" s="82" t="s">
        <v>347</v>
      </c>
      <c r="D9" s="51"/>
      <c r="E9" s="51"/>
      <c r="F9" s="69"/>
    </row>
    <row r="10" spans="1:7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f>0.6/1.2</f>
        <v>0.5</v>
      </c>
      <c r="E10" s="51">
        <f>VLOOKUP(A10,'IN-10-14'!A10:D884,4)</f>
        <v>64.12</v>
      </c>
      <c r="F10" s="69">
        <f>(D10*E10)</f>
        <v>32.06</v>
      </c>
    </row>
    <row r="11" spans="1:7">
      <c r="A11" s="82" t="s">
        <v>348</v>
      </c>
      <c r="D11" s="51"/>
      <c r="E11" s="51"/>
      <c r="F11" s="69"/>
    </row>
    <row r="12" spans="1:7">
      <c r="A12" s="3" t="s">
        <v>1576</v>
      </c>
      <c r="B12" s="4" t="str">
        <f>VLOOKUP(A12,Insumos,2)</f>
        <v>canasta 1 (camión volcador)</v>
      </c>
      <c r="C12" s="6" t="str">
        <f>VLOOKUP(A12,Insumos,3)</f>
        <v>h</v>
      </c>
      <c r="D12" s="51">
        <v>1.5E-3</v>
      </c>
      <c r="E12" s="51">
        <f>VLOOKUP(A12,'IN-10-14'!A12:D886,4)</f>
        <v>557.08467748239605</v>
      </c>
      <c r="F12" s="69">
        <f>(D12*E12)</f>
        <v>0.83562701622359403</v>
      </c>
    </row>
    <row r="13" spans="1:7" ht="13.5" thickBot="1"/>
    <row r="14" spans="1:7" ht="13.5" thickTop="1">
      <c r="A14" s="75" t="s">
        <v>342</v>
      </c>
      <c r="B14" s="218" t="s">
        <v>1667</v>
      </c>
      <c r="C14" s="77" t="str">
        <f>Fecha</f>
        <v>Oct-14</v>
      </c>
      <c r="D14" s="48"/>
      <c r="E14" s="48"/>
      <c r="F14" s="219">
        <f>SUM(F17:F23)</f>
        <v>17.636310933782521</v>
      </c>
      <c r="G14" s="41"/>
    </row>
    <row r="15" spans="1:7" ht="13.5" thickBot="1">
      <c r="A15" s="7" t="s">
        <v>341</v>
      </c>
      <c r="B15" s="7" t="s">
        <v>1666</v>
      </c>
      <c r="C15" s="78" t="s">
        <v>340</v>
      </c>
      <c r="D15" s="49" t="s">
        <v>1696</v>
      </c>
      <c r="E15" s="50"/>
      <c r="F15" s="68"/>
      <c r="G15" s="42" t="s">
        <v>1876</v>
      </c>
    </row>
    <row r="16" spans="1:7" ht="5.0999999999999996" customHeight="1" thickTop="1">
      <c r="D16" s="51"/>
      <c r="E16" s="51"/>
      <c r="F16" s="69"/>
    </row>
    <row r="17" spans="1:7">
      <c r="A17" s="82" t="s">
        <v>346</v>
      </c>
      <c r="D17" s="51"/>
      <c r="E17" s="51"/>
      <c r="F17" s="69"/>
    </row>
    <row r="18" spans="1:7">
      <c r="A18" s="3" t="s">
        <v>71</v>
      </c>
      <c r="B18" s="4" t="str">
        <f>VLOOKUP(A18,Insumos,2)</f>
        <v>fijador al agua</v>
      </c>
      <c r="C18" s="6" t="str">
        <f>VLOOKUP(A18,Insumos,3)</f>
        <v>l</v>
      </c>
      <c r="D18" s="51">
        <v>0.02</v>
      </c>
      <c r="E18" s="51">
        <f>VLOOKUP(A18,'IN-10-14'!A18:D892,4)</f>
        <v>37.504132231404959</v>
      </c>
      <c r="F18" s="69">
        <f>(D18*E18)</f>
        <v>0.75008264462809926</v>
      </c>
    </row>
    <row r="19" spans="1:7">
      <c r="A19" s="3" t="s">
        <v>1585</v>
      </c>
      <c r="B19" s="4" t="str">
        <f>VLOOKUP(A19,Insumos,2)</f>
        <v>cal hidratada en bolsa</v>
      </c>
      <c r="C19" s="6" t="str">
        <f>VLOOKUP(A19,Insumos,3)</f>
        <v>kg</v>
      </c>
      <c r="D19" s="51">
        <v>0.3</v>
      </c>
      <c r="E19" s="51">
        <f>VLOOKUP(A19,'IN-10-14'!A19:D893,4)</f>
        <v>1.9256198347107438</v>
      </c>
      <c r="F19" s="69">
        <f>(D19*E19)</f>
        <v>0.57768595041322313</v>
      </c>
    </row>
    <row r="20" spans="1:7">
      <c r="A20" s="82" t="s">
        <v>347</v>
      </c>
      <c r="D20" s="51"/>
      <c r="E20" s="51"/>
      <c r="F20" s="69"/>
    </row>
    <row r="21" spans="1:7">
      <c r="A21" s="3" t="s">
        <v>1575</v>
      </c>
      <c r="B21" s="4" t="str">
        <f>VLOOKUP(A21,Insumos,2)</f>
        <v>cuadrilla tipo UOCRA</v>
      </c>
      <c r="C21" s="6" t="str">
        <f>VLOOKUP(A21,Insumos,3)</f>
        <v>h</v>
      </c>
      <c r="D21" s="51">
        <v>0.25</v>
      </c>
      <c r="E21" s="51">
        <f>VLOOKUP(A21,'IN-10-14'!A21:D895,4)</f>
        <v>64.12</v>
      </c>
      <c r="F21" s="69">
        <f>(D21*E21)</f>
        <v>16.03</v>
      </c>
    </row>
    <row r="22" spans="1:7">
      <c r="A22" s="82" t="s">
        <v>348</v>
      </c>
      <c r="D22" s="51"/>
      <c r="E22" s="51"/>
      <c r="F22" s="69"/>
    </row>
    <row r="23" spans="1:7">
      <c r="A23" s="3" t="s">
        <v>1576</v>
      </c>
      <c r="B23" s="4" t="str">
        <f>VLOOKUP(A23,Insumos,2)</f>
        <v>canasta 1 (camión volcador)</v>
      </c>
      <c r="C23" s="6" t="str">
        <f>VLOOKUP(A23,Insumos,3)</f>
        <v>h</v>
      </c>
      <c r="D23" s="51">
        <v>5.0000000000000001E-4</v>
      </c>
      <c r="E23" s="51">
        <f>VLOOKUP(A23,'IN-10-14'!A23:D897,4)</f>
        <v>557.08467748239605</v>
      </c>
      <c r="F23" s="69">
        <f>(D23*E23)</f>
        <v>0.27854233874119805</v>
      </c>
    </row>
    <row r="24" spans="1:7" ht="13.5" thickBot="1"/>
    <row r="25" spans="1:7" ht="13.5" thickTop="1">
      <c r="A25" s="75" t="s">
        <v>342</v>
      </c>
      <c r="B25" s="218" t="s">
        <v>1668</v>
      </c>
      <c r="C25" s="77" t="str">
        <f>Fecha</f>
        <v>Oct-14</v>
      </c>
      <c r="D25" s="48"/>
      <c r="E25" s="48"/>
      <c r="F25" s="219">
        <f>SUM(F28:F34)</f>
        <v>19.083501016427149</v>
      </c>
      <c r="G25" s="41"/>
    </row>
    <row r="26" spans="1:7" ht="13.5" thickBot="1">
      <c r="A26" s="7" t="s">
        <v>341</v>
      </c>
      <c r="B26" s="7" t="s">
        <v>1666</v>
      </c>
      <c r="C26" s="78" t="s">
        <v>340</v>
      </c>
      <c r="D26" s="49" t="s">
        <v>1719</v>
      </c>
      <c r="E26" s="50"/>
      <c r="F26" s="68"/>
      <c r="G26" s="42" t="s">
        <v>1876</v>
      </c>
    </row>
    <row r="27" spans="1:7" ht="5.0999999999999996" customHeight="1" thickTop="1">
      <c r="D27" s="51"/>
      <c r="E27" s="51"/>
      <c r="F27" s="69"/>
    </row>
    <row r="28" spans="1:7">
      <c r="A28" s="82" t="s">
        <v>346</v>
      </c>
      <c r="D28" s="51"/>
      <c r="E28" s="51"/>
      <c r="F28" s="69"/>
    </row>
    <row r="29" spans="1:7">
      <c r="A29" s="3" t="s">
        <v>71</v>
      </c>
      <c r="B29" s="4" t="str">
        <f>VLOOKUP(A29,Insumos,2)</f>
        <v>fijador al agua</v>
      </c>
      <c r="C29" s="6" t="str">
        <f>VLOOKUP(A29,Insumos,3)</f>
        <v>l</v>
      </c>
      <c r="D29" s="51">
        <v>0.02</v>
      </c>
      <c r="E29" s="51">
        <f>VLOOKUP(A29,'IN-10-14'!A29:D903,4)</f>
        <v>37.504132231404959</v>
      </c>
      <c r="F29" s="69">
        <f>(D29*E29)</f>
        <v>0.75008264462809926</v>
      </c>
    </row>
    <row r="30" spans="1:7">
      <c r="A30" s="3" t="s">
        <v>1720</v>
      </c>
      <c r="B30" s="4" t="str">
        <f>VLOOKUP(A30,Insumos,2)</f>
        <v>pintura al agua bolsa 4 kg</v>
      </c>
      <c r="C30" s="6" t="str">
        <f>VLOOKUP(A30,Insumos,3)</f>
        <v>u</v>
      </c>
      <c r="D30" s="51">
        <v>7.4999999999999997E-2</v>
      </c>
      <c r="E30" s="51">
        <f>VLOOKUP(A30,'IN-10-14'!A30:D904,4)</f>
        <v>26.998347107438018</v>
      </c>
      <c r="F30" s="69">
        <f>(D30*E30)</f>
        <v>2.0248760330578515</v>
      </c>
    </row>
    <row r="31" spans="1:7">
      <c r="A31" s="82" t="s">
        <v>347</v>
      </c>
      <c r="D31" s="51"/>
      <c r="E31" s="51"/>
      <c r="F31" s="69"/>
    </row>
    <row r="32" spans="1:7">
      <c r="A32" s="3" t="s">
        <v>1575</v>
      </c>
      <c r="B32" s="4" t="str">
        <f>VLOOKUP(A32,Insumos,2)</f>
        <v>cuadrilla tipo UOCRA</v>
      </c>
      <c r="C32" s="6" t="str">
        <f>VLOOKUP(A32,Insumos,3)</f>
        <v>h</v>
      </c>
      <c r="D32" s="51">
        <v>0.25</v>
      </c>
      <c r="E32" s="51">
        <f>VLOOKUP(A32,'IN-10-14'!A32:D906,4)</f>
        <v>64.12</v>
      </c>
      <c r="F32" s="69">
        <f>(D32*E32)</f>
        <v>16.03</v>
      </c>
    </row>
    <row r="33" spans="1:7">
      <c r="A33" s="82" t="s">
        <v>348</v>
      </c>
      <c r="D33" s="51"/>
      <c r="E33" s="51"/>
      <c r="F33" s="69"/>
    </row>
    <row r="34" spans="1:7">
      <c r="A34" s="3" t="s">
        <v>1576</v>
      </c>
      <c r="B34" s="4" t="str">
        <f>VLOOKUP(A34,Insumos,2)</f>
        <v>canasta 1 (camión volcador)</v>
      </c>
      <c r="C34" s="6" t="str">
        <f>VLOOKUP(A34,Insumos,3)</f>
        <v>h</v>
      </c>
      <c r="D34" s="51">
        <v>5.0000000000000001E-4</v>
      </c>
      <c r="E34" s="51">
        <f>VLOOKUP(A34,'IN-10-14'!A34:D908,4)</f>
        <v>557.08467748239605</v>
      </c>
      <c r="F34" s="69">
        <f>(D34*E34)</f>
        <v>0.27854233874119805</v>
      </c>
    </row>
    <row r="35" spans="1:7" ht="13.5" thickBot="1"/>
    <row r="36" spans="1:7" ht="13.5" thickTop="1">
      <c r="A36" s="75" t="s">
        <v>342</v>
      </c>
      <c r="B36" s="218" t="s">
        <v>1721</v>
      </c>
      <c r="C36" s="77" t="str">
        <f>Fecha</f>
        <v>Oct-14</v>
      </c>
      <c r="D36" s="48"/>
      <c r="E36" s="48"/>
      <c r="F36" s="219">
        <f>SUM(F39:F46)</f>
        <v>73.63489456157636</v>
      </c>
      <c r="G36" s="41"/>
    </row>
    <row r="37" spans="1:7" ht="13.5" thickBot="1">
      <c r="A37" s="7" t="s">
        <v>341</v>
      </c>
      <c r="B37" s="7" t="s">
        <v>1666</v>
      </c>
      <c r="C37" s="78" t="s">
        <v>340</v>
      </c>
      <c r="D37" s="49" t="s">
        <v>1697</v>
      </c>
      <c r="E37" s="50"/>
      <c r="F37" s="68"/>
      <c r="G37" s="42" t="s">
        <v>1876</v>
      </c>
    </row>
    <row r="38" spans="1:7" ht="5.0999999999999996" customHeight="1" thickTop="1">
      <c r="D38" s="51"/>
      <c r="E38" s="51"/>
      <c r="F38" s="69"/>
    </row>
    <row r="39" spans="1:7">
      <c r="A39" s="82" t="s">
        <v>346</v>
      </c>
      <c r="D39" s="51"/>
      <c r="E39" s="51"/>
      <c r="F39" s="69"/>
    </row>
    <row r="40" spans="1:7">
      <c r="A40" s="3" t="s">
        <v>1619</v>
      </c>
      <c r="B40" s="4" t="str">
        <f>VLOOKUP(A40,Insumos,2)</f>
        <v>esmalte sintetico x 4 lts blanco</v>
      </c>
      <c r="C40" s="6" t="str">
        <f>VLOOKUP(A40,Insumos,3)</f>
        <v>u</v>
      </c>
      <c r="D40" s="51">
        <v>0.05</v>
      </c>
      <c r="E40" s="51">
        <f>VLOOKUP(A40,'IN-10-14'!A40:D914,4)</f>
        <v>329.42809917355373</v>
      </c>
      <c r="F40" s="69">
        <f>(D40*E40)</f>
        <v>16.471404958677688</v>
      </c>
    </row>
    <row r="41" spans="1:7">
      <c r="A41" s="3" t="s">
        <v>181</v>
      </c>
      <c r="B41" s="4" t="str">
        <f>VLOOKUP(A41,Insumos,2)</f>
        <v>antióxido rojo plata x 4 lts.</v>
      </c>
      <c r="C41" s="6" t="str">
        <f>VLOOKUP(A41,Insumos,3)</f>
        <v>u</v>
      </c>
      <c r="D41" s="51">
        <v>2.5000000000000001E-2</v>
      </c>
      <c r="E41" s="51">
        <f>VLOOKUP(A41,'IN-10-14'!A41:D915,4)</f>
        <v>290.31</v>
      </c>
      <c r="F41" s="69">
        <f>(D41*E41)</f>
        <v>7.2577500000000006</v>
      </c>
    </row>
    <row r="42" spans="1:7">
      <c r="A42" s="3" t="s">
        <v>1713</v>
      </c>
      <c r="B42" s="4" t="str">
        <f>VLOOKUP(A42,Insumos,2)</f>
        <v>barniz sintético</v>
      </c>
      <c r="C42" s="6" t="str">
        <f>VLOOKUP(A42,Insumos,3)</f>
        <v>l</v>
      </c>
      <c r="D42" s="51">
        <v>0.01</v>
      </c>
      <c r="E42" s="51">
        <f>VLOOKUP(A42,'IN-10-14'!A42:D916,4)</f>
        <v>70.15702479338843</v>
      </c>
      <c r="F42" s="69">
        <f>(D42*E42)</f>
        <v>0.70157024793388434</v>
      </c>
    </row>
    <row r="43" spans="1:7">
      <c r="A43" s="82" t="s">
        <v>347</v>
      </c>
      <c r="D43" s="51"/>
      <c r="E43" s="51"/>
      <c r="F43" s="69"/>
    </row>
    <row r="44" spans="1:7">
      <c r="A44" s="3" t="s">
        <v>1575</v>
      </c>
      <c r="B44" s="4" t="str">
        <f>VLOOKUP(A44,Insumos,2)</f>
        <v>cuadrilla tipo UOCRA</v>
      </c>
      <c r="C44" s="6" t="str">
        <f>VLOOKUP(A44,Insumos,3)</f>
        <v>h</v>
      </c>
      <c r="D44" s="51">
        <f>0.9/1.2</f>
        <v>0.75</v>
      </c>
      <c r="E44" s="51">
        <f>VLOOKUP(A44,'IN-10-14'!A44:D918,4)</f>
        <v>64.12</v>
      </c>
      <c r="F44" s="69">
        <f>(D44*E44)</f>
        <v>48.09</v>
      </c>
    </row>
    <row r="45" spans="1:7">
      <c r="A45" s="82" t="s">
        <v>348</v>
      </c>
      <c r="D45" s="51"/>
      <c r="E45" s="51"/>
      <c r="F45" s="69"/>
    </row>
    <row r="46" spans="1:7">
      <c r="A46" s="3" t="s">
        <v>1576</v>
      </c>
      <c r="B46" s="4" t="str">
        <f>VLOOKUP(A46,Insumos,2)</f>
        <v>canasta 1 (camión volcador)</v>
      </c>
      <c r="C46" s="6" t="str">
        <f>VLOOKUP(A46,Insumos,3)</f>
        <v>h</v>
      </c>
      <c r="D46" s="51">
        <v>2E-3</v>
      </c>
      <c r="E46" s="51">
        <f>VLOOKUP(A46,'IN-10-14'!A46:D920,4)</f>
        <v>557.08467748239605</v>
      </c>
      <c r="F46" s="69">
        <f>(D46*E46)</f>
        <v>1.1141693549647922</v>
      </c>
    </row>
    <row r="47" spans="1:7" ht="13.5" thickBot="1">
      <c r="A47" s="3"/>
      <c r="B47" s="4"/>
      <c r="C47" s="6"/>
      <c r="D47" s="51"/>
      <c r="E47" s="51"/>
      <c r="F47" s="69"/>
    </row>
    <row r="48" spans="1:7" ht="13.5" thickTop="1">
      <c r="A48" s="75" t="s">
        <v>342</v>
      </c>
      <c r="B48" s="218" t="s">
        <v>182</v>
      </c>
      <c r="C48" s="77" t="str">
        <f>Fecha</f>
        <v>Oct-14</v>
      </c>
      <c r="D48" s="48"/>
      <c r="E48" s="48"/>
      <c r="F48" s="219">
        <f>SUM(F50:F56)</f>
        <v>47.547474950107897</v>
      </c>
      <c r="G48" s="41"/>
    </row>
    <row r="49" spans="1:7" ht="13.5" thickBot="1">
      <c r="A49" s="7" t="s">
        <v>341</v>
      </c>
      <c r="B49" s="7" t="s">
        <v>1666</v>
      </c>
      <c r="C49" s="78" t="s">
        <v>340</v>
      </c>
      <c r="D49" s="49" t="s">
        <v>1812</v>
      </c>
      <c r="E49" s="50"/>
      <c r="F49" s="68"/>
      <c r="G49" s="42" t="s">
        <v>1876</v>
      </c>
    </row>
    <row r="50" spans="1:7" ht="13.5" thickTop="1">
      <c r="A50" s="82" t="s">
        <v>346</v>
      </c>
      <c r="D50" s="51"/>
      <c r="E50" s="51"/>
      <c r="F50" s="69"/>
    </row>
    <row r="51" spans="1:7">
      <c r="A51" s="3" t="s">
        <v>1712</v>
      </c>
      <c r="B51" s="4" t="str">
        <f>VLOOKUP(A51,Insumos,2)</f>
        <v>aguarrás</v>
      </c>
      <c r="C51" s="6" t="str">
        <f>VLOOKUP(A51,Insumos,3)</f>
        <v>l</v>
      </c>
      <c r="D51" s="51">
        <v>0.06</v>
      </c>
      <c r="E51" s="51">
        <f>VLOOKUP(A51,'IN-10-14'!A51:D925,4)</f>
        <v>31.714049586776859</v>
      </c>
      <c r="F51" s="69">
        <f>(D51*E51)</f>
        <v>1.9028429752066114</v>
      </c>
    </row>
    <row r="52" spans="1:7">
      <c r="A52" s="3" t="s">
        <v>1713</v>
      </c>
      <c r="B52" s="4" t="str">
        <f>VLOOKUP(A52,Insumos,2)</f>
        <v>barniz sintético</v>
      </c>
      <c r="C52" s="6" t="str">
        <f>VLOOKUP(A52,Insumos,3)</f>
        <v>l</v>
      </c>
      <c r="D52" s="51">
        <v>0.2</v>
      </c>
      <c r="E52" s="51">
        <f>VLOOKUP(A52,'IN-10-14'!A52:D926,4)</f>
        <v>70.15702479338843</v>
      </c>
      <c r="F52" s="69">
        <f>(D52*E52)</f>
        <v>14.031404958677687</v>
      </c>
    </row>
    <row r="53" spans="1:7">
      <c r="A53" s="82" t="s">
        <v>347</v>
      </c>
      <c r="D53" s="51"/>
      <c r="E53" s="51"/>
      <c r="F53" s="69"/>
    </row>
    <row r="54" spans="1:7">
      <c r="A54" s="3" t="s">
        <v>1575</v>
      </c>
      <c r="B54" s="4" t="str">
        <f>VLOOKUP(A54,Insumos,2)</f>
        <v>cuadrilla tipo UOCRA</v>
      </c>
      <c r="C54" s="6" t="str">
        <f>VLOOKUP(A54,Insumos,3)</f>
        <v>h</v>
      </c>
      <c r="D54" s="51">
        <f>0.6/1.25</f>
        <v>0.48</v>
      </c>
      <c r="E54" s="51">
        <f>VLOOKUP(A54,'IN-10-14'!A54:D928,4)</f>
        <v>64.12</v>
      </c>
      <c r="F54" s="69">
        <f>(D54*E54)</f>
        <v>30.7776</v>
      </c>
    </row>
    <row r="55" spans="1:7">
      <c r="A55" s="82" t="s">
        <v>348</v>
      </c>
      <c r="D55" s="51"/>
      <c r="E55" s="51"/>
      <c r="F55" s="69"/>
    </row>
    <row r="56" spans="1:7">
      <c r="A56" s="3" t="s">
        <v>1576</v>
      </c>
      <c r="B56" s="4" t="str">
        <f>VLOOKUP(A56,Insumos,2)</f>
        <v>canasta 1 (camión volcador)</v>
      </c>
      <c r="C56" s="6" t="str">
        <f>VLOOKUP(A56,Insumos,3)</f>
        <v>h</v>
      </c>
      <c r="D56" s="51">
        <v>1.5E-3</v>
      </c>
      <c r="E56" s="51">
        <f>VLOOKUP(A56,'IN-10-14'!A56:D930,4)</f>
        <v>557.08467748239605</v>
      </c>
      <c r="F56" s="69">
        <f>(D56*E56)</f>
        <v>0.83562701622359403</v>
      </c>
    </row>
    <row r="57" spans="1:7" ht="13.5" thickBot="1">
      <c r="A57" s="3"/>
      <c r="B57" s="4"/>
      <c r="C57" s="6"/>
      <c r="D57" s="51"/>
      <c r="E57" s="51"/>
      <c r="F57" s="69"/>
    </row>
    <row r="58" spans="1:7" ht="13.5" thickTop="1">
      <c r="A58" s="75" t="s">
        <v>342</v>
      </c>
      <c r="B58" s="218" t="s">
        <v>183</v>
      </c>
      <c r="C58" s="77" t="str">
        <f>Fecha</f>
        <v>Oct-14</v>
      </c>
      <c r="D58" s="48"/>
      <c r="E58" s="48"/>
      <c r="F58" s="219">
        <f>SUM(F60:F67)</f>
        <v>62.580197288849099</v>
      </c>
      <c r="G58" s="41"/>
    </row>
    <row r="59" spans="1:7" ht="13.5" thickBot="1">
      <c r="A59" s="7" t="s">
        <v>341</v>
      </c>
      <c r="B59" s="7" t="s">
        <v>1666</v>
      </c>
      <c r="C59" s="78" t="s">
        <v>340</v>
      </c>
      <c r="D59" s="49" t="s">
        <v>1813</v>
      </c>
      <c r="E59" s="50"/>
      <c r="F59" s="68"/>
      <c r="G59" s="42" t="s">
        <v>1876</v>
      </c>
    </row>
    <row r="60" spans="1:7" ht="13.5" thickTop="1">
      <c r="A60" s="82" t="s">
        <v>346</v>
      </c>
      <c r="D60" s="51"/>
      <c r="E60" s="51"/>
      <c r="F60" s="69"/>
    </row>
    <row r="61" spans="1:7">
      <c r="A61" s="3" t="s">
        <v>1712</v>
      </c>
      <c r="B61" s="4" t="str">
        <f>VLOOKUP(A61,Insumos,2)</f>
        <v>aguarrás</v>
      </c>
      <c r="C61" s="6" t="str">
        <f>VLOOKUP(A61,Insumos,3)</f>
        <v>l</v>
      </c>
      <c r="D61" s="51">
        <v>0.06</v>
      </c>
      <c r="E61" s="51">
        <f>VLOOKUP(A61,'IN-10-14'!A61:D935,4)</f>
        <v>31.714049586776859</v>
      </c>
      <c r="F61" s="69">
        <f>(D61*E61)</f>
        <v>1.9028429752066114</v>
      </c>
    </row>
    <row r="62" spans="1:7">
      <c r="A62" s="3" t="s">
        <v>181</v>
      </c>
      <c r="B62" s="4" t="str">
        <f>VLOOKUP(A62,Insumos,2)</f>
        <v>antióxido rojo plata x 4 lts.</v>
      </c>
      <c r="C62" s="6" t="str">
        <f>VLOOKUP(A62,Insumos,3)</f>
        <v>u</v>
      </c>
      <c r="D62" s="51">
        <v>3.7999999999999999E-2</v>
      </c>
      <c r="E62" s="51">
        <f>VLOOKUP(A62,'IN-10-14'!A62:D936,4)</f>
        <v>290.31</v>
      </c>
      <c r="F62" s="69">
        <f>(D62*E62)</f>
        <v>11.031779999999999</v>
      </c>
    </row>
    <row r="63" spans="1:7">
      <c r="A63" s="3" t="s">
        <v>1619</v>
      </c>
      <c r="B63" s="4" t="str">
        <f>VLOOKUP(A63,Insumos,2)</f>
        <v>esmalte sintetico x 4 lts blanco</v>
      </c>
      <c r="C63" s="6" t="str">
        <f>VLOOKUP(A63,Insumos,3)</f>
        <v>u</v>
      </c>
      <c r="D63" s="51">
        <v>0.05</v>
      </c>
      <c r="E63" s="51">
        <f>VLOOKUP(A63,'IN-10-14'!A63:D937,4)</f>
        <v>329.42809917355373</v>
      </c>
      <c r="F63" s="69">
        <f>(D63*E63)</f>
        <v>16.471404958677688</v>
      </c>
    </row>
    <row r="64" spans="1:7">
      <c r="A64" s="82" t="s">
        <v>347</v>
      </c>
      <c r="D64" s="51"/>
      <c r="E64" s="51"/>
      <c r="F64" s="69"/>
    </row>
    <row r="65" spans="1:7">
      <c r="A65" s="3" t="s">
        <v>1575</v>
      </c>
      <c r="B65" s="4" t="str">
        <f>VLOOKUP(A65,Insumos,2)</f>
        <v>cuadrilla tipo UOCRA</v>
      </c>
      <c r="C65" s="6" t="str">
        <f>VLOOKUP(A65,Insumos,3)</f>
        <v>h</v>
      </c>
      <c r="D65" s="51">
        <f>0.6/1.2</f>
        <v>0.5</v>
      </c>
      <c r="E65" s="51">
        <f>VLOOKUP(A65,'IN-10-14'!A65:D939,4)</f>
        <v>64.12</v>
      </c>
      <c r="F65" s="69">
        <f>(D65*E65)</f>
        <v>32.06</v>
      </c>
    </row>
    <row r="66" spans="1:7">
      <c r="A66" s="82" t="s">
        <v>348</v>
      </c>
      <c r="D66" s="51"/>
      <c r="E66" s="51"/>
      <c r="F66" s="69"/>
    </row>
    <row r="67" spans="1:7">
      <c r="A67" s="3" t="s">
        <v>1576</v>
      </c>
      <c r="B67" s="4" t="str">
        <f>VLOOKUP(A67,Insumos,2)</f>
        <v>canasta 1 (camión volcador)</v>
      </c>
      <c r="C67" s="6" t="str">
        <f>VLOOKUP(A67,Insumos,3)</f>
        <v>h</v>
      </c>
      <c r="D67" s="51">
        <v>2E-3</v>
      </c>
      <c r="E67" s="51">
        <f>VLOOKUP(A67,'IN-10-14'!A67:D941,4)</f>
        <v>557.08467748239605</v>
      </c>
      <c r="F67" s="69">
        <f>(D67*E67)</f>
        <v>1.1141693549647922</v>
      </c>
    </row>
    <row r="68" spans="1:7" ht="13.5" thickBot="1">
      <c r="A68" s="3"/>
      <c r="B68" s="4"/>
      <c r="C68" s="6"/>
      <c r="D68" s="51"/>
      <c r="E68" s="51"/>
      <c r="F68" s="69"/>
    </row>
    <row r="69" spans="1:7" ht="13.5" thickTop="1">
      <c r="A69" s="75" t="s">
        <v>342</v>
      </c>
      <c r="B69" s="218" t="s">
        <v>184</v>
      </c>
      <c r="C69" s="77" t="str">
        <f>Fecha</f>
        <v>Oct-14</v>
      </c>
      <c r="D69" s="48"/>
      <c r="E69" s="48"/>
      <c r="F69" s="219">
        <f>SUM(F71:F78)</f>
        <v>71.12522649421004</v>
      </c>
      <c r="G69" s="41"/>
    </row>
    <row r="70" spans="1:7" ht="13.5" thickBot="1">
      <c r="A70" s="7" t="s">
        <v>341</v>
      </c>
      <c r="B70" s="7" t="s">
        <v>1666</v>
      </c>
      <c r="C70" s="78" t="s">
        <v>340</v>
      </c>
      <c r="D70" s="49" t="s">
        <v>1814</v>
      </c>
      <c r="E70" s="50"/>
      <c r="F70" s="68"/>
      <c r="G70" s="42" t="s">
        <v>1876</v>
      </c>
    </row>
    <row r="71" spans="1:7" ht="13.5" thickTop="1">
      <c r="A71" s="82" t="s">
        <v>346</v>
      </c>
      <c r="D71" s="51"/>
      <c r="E71" s="51"/>
      <c r="F71" s="69"/>
    </row>
    <row r="72" spans="1:7">
      <c r="A72" s="3" t="s">
        <v>72</v>
      </c>
      <c r="B72" s="4" t="str">
        <f>VLOOKUP(A72,Insumos,2)</f>
        <v xml:space="preserve">pintura siliconadas p/ladrillos </v>
      </c>
      <c r="C72" s="6" t="str">
        <f>VLOOKUP(A72,Insumos,3)</f>
        <v>l</v>
      </c>
      <c r="D72" s="51">
        <v>0.5</v>
      </c>
      <c r="E72" s="51">
        <f>VLOOKUP(A72,'IN-10-14'!A72:D946,4)</f>
        <v>65.654298642533945</v>
      </c>
      <c r="F72" s="69">
        <f>(D72*E72)</f>
        <v>32.827149321266972</v>
      </c>
    </row>
    <row r="73" spans="1:7">
      <c r="A73" s="3" t="s">
        <v>1712</v>
      </c>
      <c r="B73" s="4" t="str">
        <f>VLOOKUP(A73,Insumos,2)</f>
        <v>aguarrás</v>
      </c>
      <c r="C73" s="6" t="str">
        <f>VLOOKUP(A73,Insumos,3)</f>
        <v>l</v>
      </c>
      <c r="D73" s="51">
        <v>0.14399999999999999</v>
      </c>
      <c r="E73" s="51">
        <f>VLOOKUP(A73,'IN-10-14'!A73:D947,4)</f>
        <v>31.714049586776859</v>
      </c>
      <c r="F73" s="69">
        <f>(D73*E73)</f>
        <v>4.5668231404958677</v>
      </c>
    </row>
    <row r="74" spans="1:7">
      <c r="A74" s="3"/>
      <c r="B74" s="4"/>
      <c r="C74" s="6"/>
      <c r="D74" s="51"/>
      <c r="E74" s="51"/>
      <c r="F74" s="69"/>
    </row>
    <row r="75" spans="1:7">
      <c r="A75" s="82" t="s">
        <v>347</v>
      </c>
      <c r="D75" s="51"/>
      <c r="E75" s="51"/>
      <c r="F75" s="69"/>
    </row>
    <row r="76" spans="1:7">
      <c r="A76" s="3" t="s">
        <v>1575</v>
      </c>
      <c r="B76" s="4" t="str">
        <f>VLOOKUP(A76,Insumos,2)</f>
        <v>cuadrilla tipo UOCRA</v>
      </c>
      <c r="C76" s="6" t="str">
        <f>VLOOKUP(A76,Insumos,3)</f>
        <v>h</v>
      </c>
      <c r="D76" s="51">
        <v>0.5</v>
      </c>
      <c r="E76" s="51">
        <f>VLOOKUP(A76,'IN-10-14'!A76:D950,4)</f>
        <v>64.12</v>
      </c>
      <c r="F76" s="69">
        <f>(D76*E76)</f>
        <v>32.06</v>
      </c>
    </row>
    <row r="77" spans="1:7">
      <c r="A77" s="82" t="s">
        <v>348</v>
      </c>
      <c r="D77" s="51"/>
      <c r="E77" s="51"/>
      <c r="F77" s="69"/>
    </row>
    <row r="78" spans="1:7">
      <c r="A78" s="3" t="s">
        <v>1576</v>
      </c>
      <c r="B78" s="4" t="str">
        <f>VLOOKUP(A78,Insumos,2)</f>
        <v>canasta 1 (camión volcador)</v>
      </c>
      <c r="C78" s="6" t="str">
        <f>VLOOKUP(A78,Insumos,3)</f>
        <v>h</v>
      </c>
      <c r="D78" s="51">
        <v>3.0000000000000001E-3</v>
      </c>
      <c r="E78" s="51">
        <f>VLOOKUP(A78,'IN-10-14'!A78:D952,4)</f>
        <v>557.08467748239605</v>
      </c>
      <c r="F78" s="69">
        <f>(D78*E78)</f>
        <v>1.6712540324471881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D8" sqref="D8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8">
    <tabColor indexed="58"/>
  </sheetPr>
  <dimension ref="A1:G7"/>
  <sheetViews>
    <sheetView showGridLines="0" zoomScale="90" zoomScaleNormal="75" zoomScaleSheetLayoutView="75" workbookViewId="0">
      <selection activeCell="E13" sqref="E13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1669</v>
      </c>
      <c r="C2" s="77" t="str">
        <f>Fecha</f>
        <v>Oct-14</v>
      </c>
      <c r="D2" s="48"/>
      <c r="E2" s="48"/>
      <c r="F2" s="219">
        <f>SUM(F5:F7)</f>
        <v>222.67000000000002</v>
      </c>
      <c r="G2" s="41"/>
    </row>
    <row r="3" spans="1:7" ht="13.5" thickBot="1">
      <c r="A3" s="7" t="s">
        <v>341</v>
      </c>
      <c r="B3" s="7" t="s">
        <v>1670</v>
      </c>
      <c r="C3" s="78" t="s">
        <v>340</v>
      </c>
      <c r="D3" s="49" t="s">
        <v>1698</v>
      </c>
      <c r="E3" s="50"/>
      <c r="F3" s="68"/>
      <c r="G3" s="42" t="s">
        <v>1876</v>
      </c>
    </row>
    <row r="4" spans="1:7" ht="13.5" thickTop="1">
      <c r="A4" s="82" t="s">
        <v>346</v>
      </c>
      <c r="D4" s="51"/>
      <c r="E4" s="51"/>
      <c r="F4" s="69"/>
    </row>
    <row r="5" spans="1:7">
      <c r="A5" s="3" t="s">
        <v>1603</v>
      </c>
      <c r="B5" s="4" t="str">
        <f>VLOOKUP(A5,'IN-10-14'!$A$5:$D$441,2)</f>
        <v>vidrio doble transparente</v>
      </c>
      <c r="C5" s="4" t="str">
        <f>VLOOKUP(A5,'IN-10-14'!$A$5:$D$441,3)</f>
        <v>m2</v>
      </c>
      <c r="D5" s="51">
        <v>1.05</v>
      </c>
      <c r="E5" s="91">
        <f>VLOOKUP(A5,'IN-10-14'!$A$5:$D$441,4)</f>
        <v>151</v>
      </c>
      <c r="F5" s="69">
        <f>(D5*E5)</f>
        <v>158.55000000000001</v>
      </c>
    </row>
    <row r="6" spans="1:7">
      <c r="A6" s="82" t="s">
        <v>347</v>
      </c>
      <c r="D6" s="51"/>
      <c r="E6" s="91"/>
      <c r="F6" s="69"/>
    </row>
    <row r="7" spans="1:7">
      <c r="A7" s="3" t="s">
        <v>1575</v>
      </c>
      <c r="B7" s="4" t="str">
        <f>VLOOKUP(A7,Insumos,2)</f>
        <v>cuadrilla tipo UOCRA</v>
      </c>
      <c r="C7" s="6" t="str">
        <f>VLOOKUP(A7,Insumos,3)</f>
        <v>h</v>
      </c>
      <c r="D7" s="51">
        <v>1</v>
      </c>
      <c r="E7" s="91">
        <f>VLOOKUP(A7,'IN-10-14'!$A$5:$D$441,4)</f>
        <v>64.12</v>
      </c>
      <c r="F7" s="69">
        <f>(D7*E7)</f>
        <v>64.12</v>
      </c>
    </row>
  </sheetData>
  <customSheetViews>
    <customSheetView guid="{0D76B64C-AC04-4788-917D-4511FD9E9090}" showPageBreaks="1" showGridLines="0" printArea="1" hiddenColumns="1" showRuler="0" topLeftCell="C1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 topLeftCell="C1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F23" sqref="F23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6" transitionEvaluation="1" transitionEntry="1" codeName="Hoja2">
    <tabColor indexed="17"/>
  </sheetPr>
  <dimension ref="A1:U882"/>
  <sheetViews>
    <sheetView showGridLines="0" tabSelected="1" zoomScale="115" zoomScaleNormal="115" workbookViewId="0">
      <pane ySplit="5" topLeftCell="A6" activePane="bottomLeft" state="frozen"/>
      <selection pane="bottomLeft" activeCell="A6" sqref="A6"/>
    </sheetView>
  </sheetViews>
  <sheetFormatPr baseColWidth="10" defaultColWidth="9.77734375" defaultRowHeight="15"/>
  <cols>
    <col min="1" max="1" width="9.44140625" style="31" customWidth="1"/>
    <col min="2" max="2" width="50.33203125" style="248" customWidth="1"/>
    <col min="3" max="3" width="5.77734375" style="15" customWidth="1"/>
    <col min="4" max="4" width="16.109375" style="266" bestFit="1" customWidth="1"/>
    <col min="5" max="5" width="11.77734375" style="263" hidden="1" customWidth="1"/>
    <col min="6" max="6" width="20.33203125" style="401" hidden="1" customWidth="1"/>
    <col min="7" max="7" width="11.6640625" style="265" hidden="1" customWidth="1"/>
    <col min="8" max="8" width="11.77734375" style="248" hidden="1" customWidth="1"/>
    <col min="9" max="9" width="19.109375" style="248" hidden="1" customWidth="1"/>
    <col min="10" max="10" width="13.6640625" style="248" hidden="1" customWidth="1"/>
    <col min="11" max="11" width="19.33203125" style="248" hidden="1" customWidth="1"/>
    <col min="12" max="12" width="10.44140625" style="248" hidden="1" customWidth="1"/>
    <col min="13" max="13" width="5.21875" style="248" hidden="1" customWidth="1"/>
    <col min="14" max="14" width="7.109375" style="248" hidden="1" customWidth="1"/>
    <col min="15" max="15" width="10.5546875" style="248" hidden="1" customWidth="1"/>
    <col min="16" max="16" width="1.33203125" style="407" customWidth="1"/>
    <col min="17" max="17" width="9.77734375" style="408" customWidth="1"/>
    <col min="18" max="21" width="9.77734375" style="409"/>
    <col min="22" max="16384" width="9.77734375" style="15"/>
  </cols>
  <sheetData>
    <row r="1" spans="1:17" ht="16.5">
      <c r="A1" s="441" t="str">
        <f>CONCATENATE("PRECIOS TESTIGOS ",D3 )</f>
        <v>PRECIOS TESTIGOS Oct-14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</row>
    <row r="2" spans="1:17" ht="16.5" customHeight="1">
      <c r="A2" s="440" t="s">
        <v>363</v>
      </c>
      <c r="B2" s="440"/>
      <c r="C2" s="440"/>
      <c r="D2" s="440"/>
      <c r="E2" s="440"/>
      <c r="F2" s="440"/>
      <c r="G2" s="440"/>
      <c r="I2" s="261" t="s">
        <v>1227</v>
      </c>
    </row>
    <row r="3" spans="1:17" ht="15.75">
      <c r="A3" s="31" t="s">
        <v>363</v>
      </c>
      <c r="C3" s="140" t="s">
        <v>1981</v>
      </c>
      <c r="D3" s="262" t="s">
        <v>1979</v>
      </c>
      <c r="F3" s="264"/>
      <c r="G3" s="265" t="s">
        <v>363</v>
      </c>
      <c r="H3" s="257" t="s">
        <v>363</v>
      </c>
    </row>
    <row r="4" spans="1:17" ht="18" customHeight="1" thickBot="1">
      <c r="E4" s="267" t="s">
        <v>363</v>
      </c>
      <c r="F4" s="264" t="s">
        <v>1098</v>
      </c>
      <c r="G4" s="265" t="s">
        <v>363</v>
      </c>
    </row>
    <row r="5" spans="1:17" ht="32.25" thickBot="1">
      <c r="A5" s="139" t="s">
        <v>1859</v>
      </c>
      <c r="B5" s="249" t="s">
        <v>1860</v>
      </c>
      <c r="C5" s="138" t="s">
        <v>174</v>
      </c>
      <c r="D5" s="268" t="s">
        <v>35</v>
      </c>
      <c r="E5" s="269" t="s">
        <v>33</v>
      </c>
      <c r="F5" s="270" t="s">
        <v>34</v>
      </c>
      <c r="G5" s="271" t="s">
        <v>363</v>
      </c>
      <c r="L5" s="272" t="s">
        <v>1135</v>
      </c>
      <c r="O5" s="273" t="s">
        <v>1416</v>
      </c>
    </row>
    <row r="6" spans="1:17" ht="15" customHeight="1">
      <c r="A6" s="130" t="s">
        <v>1620</v>
      </c>
      <c r="B6" s="250" t="s">
        <v>1898</v>
      </c>
      <c r="C6" s="131" t="s">
        <v>1899</v>
      </c>
      <c r="D6" s="274">
        <v>732.9</v>
      </c>
      <c r="E6" s="275">
        <v>107.619</v>
      </c>
      <c r="F6" s="276" t="s">
        <v>363</v>
      </c>
      <c r="G6" s="277" t="s">
        <v>363</v>
      </c>
      <c r="H6" s="278" t="s">
        <v>1134</v>
      </c>
      <c r="L6" s="248">
        <v>3</v>
      </c>
      <c r="O6" s="279" t="e">
        <f>#REF!/#REF!</f>
        <v>#REF!</v>
      </c>
    </row>
    <row r="7" spans="1:17">
      <c r="A7" s="132" t="s">
        <v>1577</v>
      </c>
      <c r="B7" s="251" t="s">
        <v>1896</v>
      </c>
      <c r="C7" s="126" t="s">
        <v>1904</v>
      </c>
      <c r="D7" s="274">
        <v>10.584654902836721</v>
      </c>
      <c r="E7" s="280">
        <v>1.831</v>
      </c>
      <c r="F7" s="281" t="s">
        <v>363</v>
      </c>
      <c r="G7" s="282" t="s">
        <v>363</v>
      </c>
      <c r="L7" s="248">
        <v>3</v>
      </c>
      <c r="O7" s="279" t="e">
        <f>D7/#REF!</f>
        <v>#REF!</v>
      </c>
    </row>
    <row r="8" spans="1:17">
      <c r="A8" s="132" t="s">
        <v>391</v>
      </c>
      <c r="B8" s="251" t="s">
        <v>392</v>
      </c>
      <c r="C8" s="126" t="s">
        <v>393</v>
      </c>
      <c r="D8" s="274">
        <v>11077.769274000002</v>
      </c>
      <c r="E8" s="280">
        <v>1831.067</v>
      </c>
      <c r="F8" s="281" t="s">
        <v>363</v>
      </c>
      <c r="G8" s="282" t="s">
        <v>363</v>
      </c>
      <c r="H8" s="283"/>
      <c r="L8" s="248">
        <v>3</v>
      </c>
      <c r="O8" s="279" t="e">
        <f>D8/#REF!</f>
        <v>#REF!</v>
      </c>
    </row>
    <row r="9" spans="1:17">
      <c r="A9" s="132" t="s">
        <v>1582</v>
      </c>
      <c r="B9" s="251" t="s">
        <v>1897</v>
      </c>
      <c r="C9" s="126" t="s">
        <v>1904</v>
      </c>
      <c r="D9" s="274">
        <v>18.036000000000001</v>
      </c>
      <c r="E9" s="280">
        <v>2.3530000000000002</v>
      </c>
      <c r="F9" s="284" t="s">
        <v>363</v>
      </c>
      <c r="G9" s="282" t="s">
        <v>363</v>
      </c>
      <c r="L9" s="248">
        <v>3</v>
      </c>
      <c r="O9" s="279" t="e">
        <f>D9/#REF!</f>
        <v>#REF!</v>
      </c>
    </row>
    <row r="10" spans="1:17">
      <c r="A10" s="132" t="s">
        <v>1599</v>
      </c>
      <c r="B10" s="251" t="s">
        <v>36</v>
      </c>
      <c r="C10" s="126" t="s">
        <v>174</v>
      </c>
      <c r="D10" s="274">
        <v>21.480032000000005</v>
      </c>
      <c r="E10" s="280">
        <v>4.1180000000000003</v>
      </c>
      <c r="F10" s="284" t="s">
        <v>363</v>
      </c>
      <c r="G10" s="282" t="s">
        <v>363</v>
      </c>
      <c r="L10" s="248">
        <v>3</v>
      </c>
      <c r="O10" s="279" t="e">
        <f>D10/#REF!</f>
        <v>#REF!</v>
      </c>
    </row>
    <row r="11" spans="1:17">
      <c r="A11" s="132" t="s">
        <v>1706</v>
      </c>
      <c r="B11" s="251" t="s">
        <v>1900</v>
      </c>
      <c r="C11" s="126" t="s">
        <v>1904</v>
      </c>
      <c r="D11" s="274">
        <v>16.519166666666639</v>
      </c>
      <c r="E11" s="280">
        <v>2.2349999999999999</v>
      </c>
      <c r="F11" s="284" t="s">
        <v>363</v>
      </c>
      <c r="G11" s="282" t="s">
        <v>363</v>
      </c>
      <c r="L11" s="248">
        <v>3</v>
      </c>
      <c r="O11" s="279" t="e">
        <f>D11/#REF!</f>
        <v>#REF!</v>
      </c>
      <c r="Q11" s="410"/>
    </row>
    <row r="12" spans="1:17">
      <c r="A12" s="132" t="s">
        <v>1701</v>
      </c>
      <c r="B12" s="251" t="s">
        <v>1901</v>
      </c>
      <c r="C12" s="126" t="s">
        <v>1904</v>
      </c>
      <c r="D12" s="274">
        <v>18.0596</v>
      </c>
      <c r="E12" s="280">
        <v>2.86</v>
      </c>
      <c r="F12" s="284" t="s">
        <v>363</v>
      </c>
      <c r="G12" s="282" t="s">
        <v>363</v>
      </c>
      <c r="L12" s="248">
        <v>3</v>
      </c>
      <c r="O12" s="279" t="e">
        <f>D12/#REF!</f>
        <v>#REF!</v>
      </c>
      <c r="Q12" s="411"/>
    </row>
    <row r="13" spans="1:17">
      <c r="A13" s="132" t="s">
        <v>394</v>
      </c>
      <c r="B13" s="251" t="s">
        <v>395</v>
      </c>
      <c r="C13" s="126" t="s">
        <v>1904</v>
      </c>
      <c r="D13" s="274">
        <v>17.3628</v>
      </c>
      <c r="E13" s="280">
        <v>2.738</v>
      </c>
      <c r="F13" s="284" t="s">
        <v>363</v>
      </c>
      <c r="G13" s="285" t="s">
        <v>363</v>
      </c>
      <c r="J13" s="286"/>
      <c r="L13" s="248">
        <v>3</v>
      </c>
      <c r="O13" s="279" t="e">
        <f>D13/#REF!</f>
        <v>#REF!</v>
      </c>
      <c r="Q13" s="411"/>
    </row>
    <row r="14" spans="1:17">
      <c r="A14" s="132" t="s">
        <v>1724</v>
      </c>
      <c r="B14" s="251" t="s">
        <v>1943</v>
      </c>
      <c r="C14" s="126" t="s">
        <v>1749</v>
      </c>
      <c r="D14" s="274">
        <v>45.790500000000002</v>
      </c>
      <c r="E14" s="280">
        <v>5.9749999999999996</v>
      </c>
      <c r="F14" s="284" t="s">
        <v>363</v>
      </c>
      <c r="G14" s="282" t="s">
        <v>363</v>
      </c>
      <c r="H14" s="248">
        <v>5047</v>
      </c>
      <c r="L14" s="248">
        <v>3</v>
      </c>
      <c r="O14" s="279" t="e">
        <f>D14/#REF!</f>
        <v>#REF!</v>
      </c>
      <c r="P14" s="412"/>
      <c r="Q14" s="413"/>
    </row>
    <row r="15" spans="1:17">
      <c r="A15" s="132" t="s">
        <v>396</v>
      </c>
      <c r="B15" s="251" t="s">
        <v>397</v>
      </c>
      <c r="C15" s="126" t="s">
        <v>1904</v>
      </c>
      <c r="D15" s="274">
        <v>13.807500000000001</v>
      </c>
      <c r="E15" s="280">
        <v>2.7469999999999999</v>
      </c>
      <c r="F15" s="284" t="s">
        <v>363</v>
      </c>
      <c r="G15" s="285" t="s">
        <v>363</v>
      </c>
      <c r="H15" s="248">
        <f>4-16</f>
        <v>-12</v>
      </c>
      <c r="L15" s="248">
        <v>3</v>
      </c>
      <c r="O15" s="279" t="e">
        <f>D15/#REF!</f>
        <v>#REF!</v>
      </c>
      <c r="P15" s="412"/>
      <c r="Q15" s="413"/>
    </row>
    <row r="16" spans="1:17">
      <c r="A16" s="132" t="s">
        <v>1725</v>
      </c>
      <c r="B16" s="251" t="s">
        <v>1944</v>
      </c>
      <c r="C16" s="126" t="s">
        <v>1749</v>
      </c>
      <c r="D16" s="274">
        <v>1.0395000000000001</v>
      </c>
      <c r="E16" s="280">
        <v>0.14599999999999999</v>
      </c>
      <c r="F16" s="284" t="s">
        <v>363</v>
      </c>
      <c r="G16" s="282" t="s">
        <v>363</v>
      </c>
      <c r="H16" s="248">
        <f>5-55</f>
        <v>-50</v>
      </c>
      <c r="L16" s="248">
        <v>3</v>
      </c>
      <c r="O16" s="279" t="e">
        <f>D16/#REF!</f>
        <v>#REF!</v>
      </c>
      <c r="P16" s="412"/>
      <c r="Q16" s="411"/>
    </row>
    <row r="17" spans="1:20">
      <c r="A17" s="132" t="s">
        <v>398</v>
      </c>
      <c r="B17" s="251" t="s">
        <v>399</v>
      </c>
      <c r="C17" s="126" t="s">
        <v>400</v>
      </c>
      <c r="D17" s="274">
        <v>1.1130000000000002</v>
      </c>
      <c r="E17" s="280">
        <v>0.16200000000000001</v>
      </c>
      <c r="F17" s="284" t="s">
        <v>363</v>
      </c>
      <c r="G17" s="285" t="s">
        <v>363</v>
      </c>
      <c r="H17" s="248">
        <f>5-10</f>
        <v>-5</v>
      </c>
      <c r="L17" s="248">
        <v>3</v>
      </c>
      <c r="O17" s="279" t="e">
        <f>D17/#REF!</f>
        <v>#REF!</v>
      </c>
      <c r="P17" s="412"/>
    </row>
    <row r="18" spans="1:20">
      <c r="A18" s="132" t="s">
        <v>1727</v>
      </c>
      <c r="B18" s="251" t="s">
        <v>1945</v>
      </c>
      <c r="C18" s="126" t="s">
        <v>1749</v>
      </c>
      <c r="D18" s="274">
        <v>4.7926997245179068</v>
      </c>
      <c r="E18" s="280">
        <v>0.996</v>
      </c>
      <c r="F18" s="284" t="s">
        <v>363</v>
      </c>
      <c r="G18" s="282" t="s">
        <v>363</v>
      </c>
      <c r="H18" s="248">
        <f>24-1</f>
        <v>23</v>
      </c>
      <c r="L18" s="248">
        <v>3</v>
      </c>
      <c r="O18" s="279" t="e">
        <f>D18/#REF!</f>
        <v>#REF!</v>
      </c>
      <c r="P18" s="412"/>
    </row>
    <row r="19" spans="1:20">
      <c r="A19" s="132" t="s">
        <v>1229</v>
      </c>
      <c r="B19" s="251" t="s">
        <v>1230</v>
      </c>
      <c r="C19" s="126" t="s">
        <v>1749</v>
      </c>
      <c r="D19" s="274">
        <v>5.7128099173553721</v>
      </c>
      <c r="E19" s="287">
        <f>1.35/1.21</f>
        <v>1.115702479338843</v>
      </c>
      <c r="F19" s="284" t="s">
        <v>363</v>
      </c>
      <c r="G19" s="282" t="s">
        <v>363</v>
      </c>
      <c r="H19" s="248">
        <f>24-2</f>
        <v>22</v>
      </c>
      <c r="O19" s="279" t="e">
        <f>D19/#REF!</f>
        <v>#REF!</v>
      </c>
      <c r="P19" s="412"/>
    </row>
    <row r="20" spans="1:20">
      <c r="A20" s="210" t="s">
        <v>1240</v>
      </c>
      <c r="B20" s="251" t="s">
        <v>1241</v>
      </c>
      <c r="C20" s="126" t="s">
        <v>174</v>
      </c>
      <c r="D20" s="274">
        <v>2.11</v>
      </c>
      <c r="E20" s="280">
        <v>0.14899999999999999</v>
      </c>
      <c r="F20" s="284" t="s">
        <v>363</v>
      </c>
      <c r="G20" s="282" t="s">
        <v>363</v>
      </c>
      <c r="O20" s="279" t="e">
        <f>D20/#REF!</f>
        <v>#REF!</v>
      </c>
      <c r="P20" s="412"/>
    </row>
    <row r="21" spans="1:20">
      <c r="A21" s="210" t="s">
        <v>1726</v>
      </c>
      <c r="B21" s="251" t="s">
        <v>1946</v>
      </c>
      <c r="C21" s="126" t="s">
        <v>174</v>
      </c>
      <c r="D21" s="274">
        <v>6.3944999999999999</v>
      </c>
      <c r="E21" s="280">
        <v>0.79300000000000004</v>
      </c>
      <c r="F21" s="284" t="s">
        <v>363</v>
      </c>
      <c r="G21" s="282" t="s">
        <v>363</v>
      </c>
      <c r="L21" s="248">
        <v>3</v>
      </c>
      <c r="O21" s="279" t="e">
        <f>D21/#REF!</f>
        <v>#REF!</v>
      </c>
      <c r="P21" s="412"/>
    </row>
    <row r="22" spans="1:20">
      <c r="A22" s="210" t="s">
        <v>401</v>
      </c>
      <c r="B22" s="251" t="s">
        <v>1211</v>
      </c>
      <c r="C22" s="126" t="s">
        <v>174</v>
      </c>
      <c r="D22" s="274">
        <v>26.88</v>
      </c>
      <c r="E22" s="280">
        <v>2.6589999999999998</v>
      </c>
      <c r="F22" s="284" t="s">
        <v>363</v>
      </c>
      <c r="G22" s="285" t="s">
        <v>363</v>
      </c>
      <c r="H22" s="248">
        <v>5722</v>
      </c>
      <c r="L22" s="248">
        <v>3</v>
      </c>
      <c r="O22" s="279" t="e">
        <f>D22/#REF!</f>
        <v>#REF!</v>
      </c>
      <c r="P22" s="412"/>
    </row>
    <row r="23" spans="1:20">
      <c r="A23" s="210" t="s">
        <v>402</v>
      </c>
      <c r="B23" s="251" t="s">
        <v>403</v>
      </c>
      <c r="C23" s="126" t="s">
        <v>393</v>
      </c>
      <c r="D23" s="274">
        <v>12977.897580000001</v>
      </c>
      <c r="E23" s="288">
        <f>(4270)/1.21*1.06</f>
        <v>3740.6611570247937</v>
      </c>
      <c r="F23" s="284"/>
      <c r="G23" s="289"/>
      <c r="H23" s="248" t="s">
        <v>1188</v>
      </c>
      <c r="L23" s="248">
        <v>1</v>
      </c>
      <c r="O23" s="279" t="e">
        <f>D23/#REF!</f>
        <v>#REF!</v>
      </c>
      <c r="P23" s="412"/>
    </row>
    <row r="24" spans="1:20">
      <c r="A24" s="210" t="s">
        <v>1451</v>
      </c>
      <c r="B24" s="251" t="s">
        <v>1452</v>
      </c>
      <c r="C24" s="126" t="s">
        <v>1749</v>
      </c>
      <c r="D24" s="274">
        <v>17.754132231404959</v>
      </c>
      <c r="E24" s="288"/>
      <c r="F24" s="284"/>
      <c r="G24" s="289"/>
      <c r="O24" s="279"/>
      <c r="P24" s="412"/>
    </row>
    <row r="25" spans="1:20">
      <c r="A25" s="210" t="s">
        <v>1453</v>
      </c>
      <c r="B25" s="251" t="s">
        <v>1454</v>
      </c>
      <c r="C25" s="126" t="s">
        <v>1749</v>
      </c>
      <c r="D25" s="274">
        <v>22.819559228650142</v>
      </c>
      <c r="E25" s="288"/>
      <c r="F25" s="284"/>
      <c r="G25" s="289"/>
      <c r="O25" s="279"/>
      <c r="P25" s="412"/>
    </row>
    <row r="26" spans="1:20">
      <c r="A26" s="210" t="s">
        <v>37</v>
      </c>
      <c r="B26" s="251" t="s">
        <v>38</v>
      </c>
      <c r="C26" s="126" t="s">
        <v>344</v>
      </c>
      <c r="D26" s="274">
        <v>12.454545454545455</v>
      </c>
      <c r="E26" s="290">
        <v>1.5369999999999999</v>
      </c>
      <c r="F26" s="281" t="s">
        <v>363</v>
      </c>
      <c r="G26" s="282"/>
      <c r="H26" s="278" t="s">
        <v>1100</v>
      </c>
      <c r="L26" s="248">
        <v>2</v>
      </c>
      <c r="O26" s="279" t="e">
        <f>D26/#REF!</f>
        <v>#REF!</v>
      </c>
      <c r="P26" s="412"/>
    </row>
    <row r="27" spans="1:20">
      <c r="A27" s="210" t="s">
        <v>39</v>
      </c>
      <c r="B27" s="251" t="s">
        <v>40</v>
      </c>
      <c r="C27" s="126" t="s">
        <v>344</v>
      </c>
      <c r="D27" s="274">
        <v>10.731000000000002</v>
      </c>
      <c r="E27" s="290">
        <v>1.139</v>
      </c>
      <c r="F27" s="281" t="s">
        <v>363</v>
      </c>
      <c r="G27" s="282"/>
      <c r="L27" s="248">
        <v>2</v>
      </c>
      <c r="O27" s="279" t="e">
        <f>D27/#REF!</f>
        <v>#REF!</v>
      </c>
      <c r="P27" s="412"/>
    </row>
    <row r="28" spans="1:20">
      <c r="A28" s="132"/>
      <c r="B28" s="251"/>
      <c r="C28" s="126"/>
      <c r="D28" s="274"/>
      <c r="E28" s="290">
        <f>0.64*D195</f>
        <v>5.4367999999999999</v>
      </c>
      <c r="F28" s="291"/>
      <c r="G28" s="292"/>
      <c r="L28" s="248">
        <v>1</v>
      </c>
      <c r="O28" s="279" t="e">
        <f>D28/#REF!</f>
        <v>#REF!</v>
      </c>
      <c r="P28" s="412"/>
      <c r="Q28" s="408" t="s">
        <v>1966</v>
      </c>
    </row>
    <row r="29" spans="1:20">
      <c r="A29" s="210" t="s">
        <v>1965</v>
      </c>
      <c r="B29" s="251" t="s">
        <v>496</v>
      </c>
      <c r="C29" s="126" t="s">
        <v>1876</v>
      </c>
      <c r="D29" s="274">
        <v>150</v>
      </c>
      <c r="E29" s="288"/>
      <c r="F29" s="284"/>
      <c r="G29" s="289"/>
      <c r="O29" s="279"/>
      <c r="P29" s="412"/>
      <c r="T29" s="414"/>
    </row>
    <row r="30" spans="1:20">
      <c r="A30" s="210" t="s">
        <v>497</v>
      </c>
      <c r="B30" s="251" t="s">
        <v>41</v>
      </c>
      <c r="C30" s="126" t="s">
        <v>1876</v>
      </c>
      <c r="D30" s="274">
        <v>42.7</v>
      </c>
      <c r="E30" s="290">
        <v>3.58</v>
      </c>
      <c r="F30" s="291"/>
      <c r="G30" s="292"/>
      <c r="L30" s="248">
        <v>1</v>
      </c>
      <c r="O30" s="279" t="e">
        <f>D30/#REF!</f>
        <v>#REF!</v>
      </c>
      <c r="P30" s="412"/>
    </row>
    <row r="31" spans="1:20">
      <c r="A31" s="132" t="s">
        <v>1879</v>
      </c>
      <c r="B31" s="251" t="s">
        <v>1880</v>
      </c>
      <c r="C31" s="126" t="s">
        <v>344</v>
      </c>
      <c r="D31" s="274">
        <v>42.7</v>
      </c>
      <c r="E31" s="290">
        <v>3.6829999999999998</v>
      </c>
      <c r="F31" s="291"/>
      <c r="G31" s="292"/>
      <c r="I31" s="248">
        <v>17454.599999999999</v>
      </c>
      <c r="L31" s="248">
        <v>1</v>
      </c>
      <c r="O31" s="279" t="e">
        <f>D31/#REF!</f>
        <v>#REF!</v>
      </c>
    </row>
    <row r="32" spans="1:20">
      <c r="A32" s="210" t="s">
        <v>500</v>
      </c>
      <c r="B32" s="251" t="s">
        <v>1838</v>
      </c>
      <c r="C32" s="126" t="s">
        <v>344</v>
      </c>
      <c r="D32" s="274">
        <v>7.51</v>
      </c>
      <c r="E32" s="290">
        <v>0.68899999999999995</v>
      </c>
      <c r="F32" s="281" t="s">
        <v>363</v>
      </c>
      <c r="G32" s="292"/>
      <c r="I32" s="248">
        <v>9203.98</v>
      </c>
      <c r="J32" s="248">
        <f>I31-I32</f>
        <v>8250.619999999999</v>
      </c>
      <c r="L32" s="248">
        <v>2</v>
      </c>
      <c r="O32" s="279" t="e">
        <f>D32/#REF!</f>
        <v>#REF!</v>
      </c>
    </row>
    <row r="33" spans="1:18">
      <c r="A33" s="210" t="s">
        <v>502</v>
      </c>
      <c r="B33" s="251" t="s">
        <v>1875</v>
      </c>
      <c r="C33" s="126" t="s">
        <v>1876</v>
      </c>
      <c r="D33" s="274">
        <v>34.270000000000003</v>
      </c>
      <c r="E33" s="290">
        <v>7.5940000000000003</v>
      </c>
      <c r="F33" s="291"/>
      <c r="G33" s="292"/>
      <c r="I33" s="248">
        <f>I31/I32</f>
        <v>1.8964187232045266</v>
      </c>
      <c r="L33" s="248">
        <v>1</v>
      </c>
      <c r="O33" s="279" t="e">
        <f>D33/#REF!</f>
        <v>#REF!</v>
      </c>
    </row>
    <row r="34" spans="1:18">
      <c r="A34" s="132"/>
      <c r="B34" s="251"/>
      <c r="C34" s="126"/>
      <c r="D34" s="274"/>
      <c r="E34" s="290">
        <f>4.365/1.21</f>
        <v>3.6074380165289259</v>
      </c>
      <c r="F34" s="291"/>
      <c r="G34" s="292"/>
      <c r="L34" s="248">
        <v>1</v>
      </c>
      <c r="O34" s="279" t="e">
        <f>D34/#REF!</f>
        <v>#REF!</v>
      </c>
    </row>
    <row r="35" spans="1:18">
      <c r="A35" s="132" t="s">
        <v>42</v>
      </c>
      <c r="B35" s="251" t="s">
        <v>43</v>
      </c>
      <c r="C35" s="126" t="s">
        <v>1904</v>
      </c>
      <c r="D35" s="274">
        <v>13.636500000000002</v>
      </c>
      <c r="E35" s="290">
        <v>2.177</v>
      </c>
      <c r="F35" s="281" t="s">
        <v>363</v>
      </c>
      <c r="G35" s="289"/>
      <c r="H35" s="293"/>
      <c r="L35" s="248">
        <v>2</v>
      </c>
      <c r="O35" s="279" t="e">
        <f>D35/#REF!</f>
        <v>#REF!</v>
      </c>
    </row>
    <row r="36" spans="1:18" ht="15" customHeight="1">
      <c r="A36" s="132" t="s">
        <v>44</v>
      </c>
      <c r="B36" s="251" t="s">
        <v>45</v>
      </c>
      <c r="C36" s="126" t="s">
        <v>1876</v>
      </c>
      <c r="D36" s="274">
        <v>2.4</v>
      </c>
      <c r="E36" s="287"/>
      <c r="F36" s="281"/>
      <c r="G36" s="294">
        <f>1.15/1.8</f>
        <v>0.63888888888888884</v>
      </c>
      <c r="H36" s="293" t="s">
        <v>1199</v>
      </c>
      <c r="J36" s="248" t="s">
        <v>1101</v>
      </c>
      <c r="L36" s="248">
        <v>1</v>
      </c>
      <c r="O36" s="279" t="e">
        <f>D36/#REF!</f>
        <v>#REF!</v>
      </c>
    </row>
    <row r="37" spans="1:18">
      <c r="A37" s="210" t="s">
        <v>505</v>
      </c>
      <c r="B37" s="251" t="s">
        <v>1368</v>
      </c>
      <c r="C37" s="126" t="s">
        <v>1904</v>
      </c>
      <c r="D37" s="274">
        <v>6.26</v>
      </c>
      <c r="E37" s="280">
        <v>1.389</v>
      </c>
      <c r="F37" s="281"/>
      <c r="G37" s="282"/>
      <c r="H37" s="293"/>
      <c r="O37" s="279" t="e">
        <f>D37/#REF!</f>
        <v>#REF!</v>
      </c>
    </row>
    <row r="38" spans="1:18">
      <c r="A38" s="132" t="s">
        <v>1593</v>
      </c>
      <c r="B38" s="251" t="s">
        <v>1878</v>
      </c>
      <c r="C38" s="126" t="s">
        <v>344</v>
      </c>
      <c r="D38" s="274">
        <v>8.356290174471992</v>
      </c>
      <c r="E38" s="290">
        <v>1.772</v>
      </c>
      <c r="F38" s="281" t="s">
        <v>363</v>
      </c>
      <c r="G38" s="295"/>
      <c r="L38" s="248">
        <v>2</v>
      </c>
      <c r="O38" s="279" t="e">
        <f>D38/#REF!</f>
        <v>#REF!</v>
      </c>
    </row>
    <row r="39" spans="1:18">
      <c r="A39" s="132" t="s">
        <v>1584</v>
      </c>
      <c r="B39" s="251" t="s">
        <v>1882</v>
      </c>
      <c r="C39" s="126" t="s">
        <v>1876</v>
      </c>
      <c r="D39" s="274">
        <v>22.942148760330578</v>
      </c>
      <c r="E39" s="287"/>
      <c r="F39" s="291"/>
      <c r="G39" s="294">
        <v>3.3</v>
      </c>
      <c r="H39" s="248" t="s">
        <v>1198</v>
      </c>
      <c r="L39" s="248">
        <v>1</v>
      </c>
      <c r="O39" s="279" t="e">
        <f>D39/#REF!</f>
        <v>#REF!</v>
      </c>
    </row>
    <row r="40" spans="1:18">
      <c r="A40" s="132" t="s">
        <v>389</v>
      </c>
      <c r="B40" s="251" t="s">
        <v>1216</v>
      </c>
      <c r="C40" s="126" t="s">
        <v>174</v>
      </c>
      <c r="D40" s="274">
        <v>68.95</v>
      </c>
      <c r="E40" s="287"/>
      <c r="F40" s="291"/>
      <c r="G40" s="294">
        <f>10/1.22/0.61</f>
        <v>13.437248051599031</v>
      </c>
      <c r="H40" s="248">
        <f>0.605*1.215</f>
        <v>0.73507500000000003</v>
      </c>
      <c r="L40" s="248">
        <v>1</v>
      </c>
      <c r="O40" s="279" t="e">
        <f>D40/#REF!</f>
        <v>#REF!</v>
      </c>
      <c r="Q40" s="425"/>
      <c r="R40" s="409" t="s">
        <v>1971</v>
      </c>
    </row>
    <row r="41" spans="1:18">
      <c r="A41" s="132" t="s">
        <v>404</v>
      </c>
      <c r="B41" s="251" t="s">
        <v>405</v>
      </c>
      <c r="C41" s="126" t="s">
        <v>1904</v>
      </c>
      <c r="D41" s="274">
        <v>4.3860000000000001</v>
      </c>
      <c r="E41" s="296"/>
      <c r="F41" s="284"/>
      <c r="G41" s="297">
        <f>3/1.21</f>
        <v>2.4793388429752068</v>
      </c>
      <c r="H41" s="298" t="s">
        <v>1228</v>
      </c>
      <c r="L41" s="248">
        <v>1</v>
      </c>
      <c r="O41" s="279" t="e">
        <f>D41/#REF!</f>
        <v>#REF!</v>
      </c>
    </row>
    <row r="42" spans="1:18" ht="15" customHeight="1">
      <c r="A42" s="132" t="s">
        <v>1580</v>
      </c>
      <c r="B42" s="251" t="s">
        <v>1921</v>
      </c>
      <c r="C42" s="126" t="s">
        <v>1922</v>
      </c>
      <c r="D42" s="274">
        <v>184.46464646464645</v>
      </c>
      <c r="E42" s="290">
        <v>17</v>
      </c>
      <c r="F42" s="284" t="s">
        <v>363</v>
      </c>
      <c r="G42" s="282"/>
      <c r="H42" s="248" t="s">
        <v>1102</v>
      </c>
      <c r="L42" s="248">
        <v>2</v>
      </c>
      <c r="O42" s="279" t="e">
        <f>D42/#REF!</f>
        <v>#REF!</v>
      </c>
    </row>
    <row r="43" spans="1:18">
      <c r="A43" s="132" t="s">
        <v>46</v>
      </c>
      <c r="B43" s="251" t="s">
        <v>406</v>
      </c>
      <c r="C43" s="126" t="s">
        <v>1922</v>
      </c>
      <c r="D43" s="274">
        <v>170.46</v>
      </c>
      <c r="E43" s="290">
        <v>12.5</v>
      </c>
      <c r="F43" s="284" t="s">
        <v>363</v>
      </c>
      <c r="G43" s="282"/>
      <c r="L43" s="248">
        <v>2</v>
      </c>
      <c r="O43" s="279" t="e">
        <f>D43/#REF!</f>
        <v>#REF!</v>
      </c>
    </row>
    <row r="44" spans="1:18">
      <c r="A44" s="132" t="s">
        <v>1579</v>
      </c>
      <c r="B44" s="251" t="s">
        <v>1924</v>
      </c>
      <c r="C44" s="126" t="s">
        <v>1922</v>
      </c>
      <c r="D44" s="274">
        <v>157.18044077134985</v>
      </c>
      <c r="E44" s="290">
        <v>14.25</v>
      </c>
      <c r="F44" s="284" t="s">
        <v>363</v>
      </c>
      <c r="G44" s="282"/>
      <c r="H44" s="293"/>
      <c r="L44" s="248">
        <v>2</v>
      </c>
      <c r="O44" s="279" t="e">
        <f>D44/#REF!</f>
        <v>#REF!</v>
      </c>
    </row>
    <row r="45" spans="1:18">
      <c r="A45" s="132" t="s">
        <v>1590</v>
      </c>
      <c r="B45" s="251" t="s">
        <v>1923</v>
      </c>
      <c r="C45" s="126" t="s">
        <v>1922</v>
      </c>
      <c r="D45" s="274">
        <v>174.5</v>
      </c>
      <c r="E45" s="290">
        <v>15.75</v>
      </c>
      <c r="F45" s="284" t="s">
        <v>363</v>
      </c>
      <c r="G45" s="282"/>
      <c r="H45" s="293"/>
      <c r="L45" s="248">
        <v>2</v>
      </c>
      <c r="O45" s="279" t="e">
        <f>D45/#REF!</f>
        <v>#REF!</v>
      </c>
    </row>
    <row r="46" spans="1:18">
      <c r="A46" s="132" t="s">
        <v>1851</v>
      </c>
      <c r="B46" s="251" t="s">
        <v>2</v>
      </c>
      <c r="C46" s="126" t="s">
        <v>1922</v>
      </c>
      <c r="D46" s="274">
        <v>165</v>
      </c>
      <c r="E46" s="290">
        <v>12.75</v>
      </c>
      <c r="F46" s="284" t="s">
        <v>363</v>
      </c>
      <c r="G46" s="282"/>
      <c r="H46" s="293"/>
      <c r="L46" s="248">
        <v>2</v>
      </c>
      <c r="O46" s="279" t="e">
        <f>D46/#REF!</f>
        <v>#REF!</v>
      </c>
    </row>
    <row r="47" spans="1:18">
      <c r="A47" s="132" t="s">
        <v>1850</v>
      </c>
      <c r="B47" s="251" t="s">
        <v>3</v>
      </c>
      <c r="C47" s="126" t="s">
        <v>1922</v>
      </c>
      <c r="D47" s="274">
        <v>184.46464646464645</v>
      </c>
      <c r="E47" s="290">
        <v>17</v>
      </c>
      <c r="F47" s="284" t="s">
        <v>363</v>
      </c>
      <c r="G47" s="282"/>
      <c r="H47" s="293"/>
      <c r="L47" s="248">
        <v>2</v>
      </c>
      <c r="O47" s="279" t="e">
        <f>D47/#REF!</f>
        <v>#REF!</v>
      </c>
    </row>
    <row r="48" spans="1:18">
      <c r="A48" s="132" t="s">
        <v>407</v>
      </c>
      <c r="B48" s="251" t="s">
        <v>408</v>
      </c>
      <c r="C48" s="126" t="s">
        <v>1922</v>
      </c>
      <c r="D48" s="274">
        <v>154.7748</v>
      </c>
      <c r="E48" s="290">
        <v>14.17</v>
      </c>
      <c r="F48" s="284" t="s">
        <v>363</v>
      </c>
      <c r="G48" s="285" t="s">
        <v>363</v>
      </c>
      <c r="L48" s="248">
        <v>1</v>
      </c>
      <c r="O48" s="279" t="e">
        <f>D48/#REF!</f>
        <v>#REF!</v>
      </c>
    </row>
    <row r="49" spans="1:17">
      <c r="A49" s="132" t="s">
        <v>47</v>
      </c>
      <c r="B49" s="251" t="s">
        <v>409</v>
      </c>
      <c r="C49" s="126" t="s">
        <v>1922</v>
      </c>
      <c r="D49" s="274">
        <v>144.7253</v>
      </c>
      <c r="E49" s="290">
        <v>13.057</v>
      </c>
      <c r="F49" s="284" t="s">
        <v>363</v>
      </c>
      <c r="G49" s="285" t="s">
        <v>363</v>
      </c>
      <c r="L49" s="248">
        <v>3</v>
      </c>
      <c r="O49" s="279" t="e">
        <f>D49/#REF!</f>
        <v>#REF!</v>
      </c>
    </row>
    <row r="50" spans="1:17">
      <c r="A50" s="132" t="s">
        <v>410</v>
      </c>
      <c r="B50" s="255" t="s">
        <v>1182</v>
      </c>
      <c r="C50" s="126" t="s">
        <v>1922</v>
      </c>
      <c r="D50" s="274">
        <v>157.18044077134985</v>
      </c>
      <c r="E50" s="296"/>
      <c r="F50" s="284"/>
      <c r="G50" s="285">
        <v>12.5</v>
      </c>
      <c r="L50" s="248">
        <v>1</v>
      </c>
      <c r="O50" s="279" t="e">
        <f>D50/#REF!</f>
        <v>#REF!</v>
      </c>
    </row>
    <row r="51" spans="1:17" ht="15" customHeight="1">
      <c r="A51" s="132"/>
      <c r="B51" s="251"/>
      <c r="C51" s="126"/>
      <c r="D51" s="274"/>
      <c r="E51" s="290">
        <v>14.17</v>
      </c>
      <c r="F51" s="284" t="s">
        <v>363</v>
      </c>
      <c r="G51" s="285" t="s">
        <v>363</v>
      </c>
      <c r="O51" s="279" t="e">
        <f>D51/#REF!</f>
        <v>#REF!</v>
      </c>
      <c r="Q51" s="408" t="s">
        <v>1966</v>
      </c>
    </row>
    <row r="52" spans="1:17" ht="15" customHeight="1">
      <c r="A52" s="132" t="s">
        <v>411</v>
      </c>
      <c r="B52" s="251" t="s">
        <v>412</v>
      </c>
      <c r="C52" s="126" t="s">
        <v>1922</v>
      </c>
      <c r="D52" s="274">
        <v>215.66666666666666</v>
      </c>
      <c r="E52" s="290">
        <v>16.667000000000002</v>
      </c>
      <c r="F52" s="284" t="s">
        <v>363</v>
      </c>
      <c r="G52" s="285" t="s">
        <v>363</v>
      </c>
      <c r="L52" s="248">
        <v>3</v>
      </c>
      <c r="O52" s="279" t="e">
        <f>D52/#REF!</f>
        <v>#REF!</v>
      </c>
    </row>
    <row r="53" spans="1:17" ht="15" customHeight="1">
      <c r="A53" s="210" t="s">
        <v>517</v>
      </c>
      <c r="B53" s="251" t="s">
        <v>1908</v>
      </c>
      <c r="C53" s="126" t="s">
        <v>1876</v>
      </c>
      <c r="D53" s="274">
        <v>64.527999999999992</v>
      </c>
      <c r="E53" s="290">
        <v>9.1059999999999999</v>
      </c>
      <c r="F53" s="281" t="s">
        <v>363</v>
      </c>
      <c r="G53" s="292"/>
      <c r="H53" s="299" t="s">
        <v>1110</v>
      </c>
      <c r="L53" s="248">
        <v>2</v>
      </c>
      <c r="O53" s="279" t="e">
        <f>D53/#REF!</f>
        <v>#REF!</v>
      </c>
    </row>
    <row r="54" spans="1:17" ht="15" customHeight="1">
      <c r="A54" s="132" t="s">
        <v>1588</v>
      </c>
      <c r="B54" s="251" t="s">
        <v>1887</v>
      </c>
      <c r="C54" s="126" t="s">
        <v>174</v>
      </c>
      <c r="D54" s="274">
        <v>12.72</v>
      </c>
      <c r="E54" s="290">
        <v>1.149</v>
      </c>
      <c r="F54" s="284" t="s">
        <v>363</v>
      </c>
      <c r="G54" s="292" t="s">
        <v>363</v>
      </c>
      <c r="H54" s="299" t="s">
        <v>1232</v>
      </c>
      <c r="L54" s="248">
        <v>2</v>
      </c>
      <c r="O54" s="279" t="e">
        <f>D54/#REF!</f>
        <v>#REF!</v>
      </c>
    </row>
    <row r="55" spans="1:17" ht="15" customHeight="1">
      <c r="A55" s="132" t="s">
        <v>1598</v>
      </c>
      <c r="B55" s="251" t="s">
        <v>48</v>
      </c>
      <c r="C55" s="126" t="s">
        <v>1749</v>
      </c>
      <c r="D55" s="274">
        <v>37.495913999999999</v>
      </c>
      <c r="E55" s="290">
        <v>6.351</v>
      </c>
      <c r="F55" s="284"/>
      <c r="G55" s="292" t="s">
        <v>363</v>
      </c>
      <c r="H55" s="299" t="s">
        <v>1189</v>
      </c>
      <c r="L55" s="248">
        <v>1</v>
      </c>
      <c r="O55" s="279" t="e">
        <f>D55/#REF!</f>
        <v>#REF!</v>
      </c>
    </row>
    <row r="56" spans="1:17" ht="15" customHeight="1">
      <c r="A56" s="133" t="s">
        <v>1601</v>
      </c>
      <c r="B56" s="251" t="s">
        <v>220</v>
      </c>
      <c r="C56" s="126" t="s">
        <v>174</v>
      </c>
      <c r="D56" s="274">
        <v>2647.3774104683198</v>
      </c>
      <c r="E56" s="280">
        <v>334.25099999999998</v>
      </c>
      <c r="F56" s="284" t="s">
        <v>363</v>
      </c>
      <c r="G56" s="300" t="s">
        <v>363</v>
      </c>
      <c r="H56" s="299" t="s">
        <v>1200</v>
      </c>
      <c r="L56" s="248">
        <v>3</v>
      </c>
      <c r="O56" s="279" t="e">
        <f>D56/#REF!</f>
        <v>#REF!</v>
      </c>
    </row>
    <row r="57" spans="1:17" ht="15" customHeight="1">
      <c r="A57" s="133"/>
      <c r="B57" s="251"/>
      <c r="C57" s="126"/>
      <c r="D57" s="274"/>
      <c r="E57" s="290"/>
      <c r="F57" s="284"/>
      <c r="G57" s="301" t="s">
        <v>1213</v>
      </c>
      <c r="H57" s="299"/>
      <c r="J57" s="302" t="s">
        <v>1212</v>
      </c>
      <c r="L57" s="248">
        <v>1</v>
      </c>
      <c r="O57" s="279" t="e">
        <f>D57/#REF!</f>
        <v>#REF!</v>
      </c>
      <c r="Q57" s="408" t="s">
        <v>1966</v>
      </c>
    </row>
    <row r="58" spans="1:17" ht="15" customHeight="1">
      <c r="A58" s="133" t="s">
        <v>50</v>
      </c>
      <c r="B58" s="251" t="s">
        <v>221</v>
      </c>
      <c r="C58" s="126" t="s">
        <v>174</v>
      </c>
      <c r="D58" s="274">
        <v>122.27272727272728</v>
      </c>
      <c r="E58" s="280">
        <v>14.164999999999999</v>
      </c>
      <c r="F58" s="284" t="s">
        <v>363</v>
      </c>
      <c r="G58" s="301" t="s">
        <v>363</v>
      </c>
      <c r="H58" s="299"/>
      <c r="L58" s="248">
        <v>2</v>
      </c>
      <c r="O58" s="279" t="e">
        <f>D58/#REF!</f>
        <v>#REF!</v>
      </c>
    </row>
    <row r="59" spans="1:17" ht="15" customHeight="1">
      <c r="A59" s="133" t="s">
        <v>1602</v>
      </c>
      <c r="B59" s="251" t="s">
        <v>1919</v>
      </c>
      <c r="C59" s="126" t="s">
        <v>174</v>
      </c>
      <c r="D59" s="274">
        <v>708.2644628099174</v>
      </c>
      <c r="E59" s="280">
        <v>93.331000000000003</v>
      </c>
      <c r="F59" s="284" t="s">
        <v>1369</v>
      </c>
      <c r="G59" s="300" t="s">
        <v>363</v>
      </c>
      <c r="H59" s="299"/>
      <c r="L59" s="248">
        <v>3</v>
      </c>
      <c r="O59" s="279" t="e">
        <f>D59/#REF!</f>
        <v>#REF!</v>
      </c>
    </row>
    <row r="60" spans="1:17" ht="15" customHeight="1">
      <c r="A60" s="133" t="s">
        <v>1310</v>
      </c>
      <c r="B60" s="251" t="s">
        <v>1920</v>
      </c>
      <c r="C60" s="126" t="s">
        <v>174</v>
      </c>
      <c r="D60" s="274">
        <v>958.93946239216734</v>
      </c>
      <c r="E60" s="280">
        <v>281.58600000000001</v>
      </c>
      <c r="F60" s="284" t="s">
        <v>363</v>
      </c>
      <c r="G60" s="300" t="s">
        <v>363</v>
      </c>
      <c r="H60" s="299"/>
      <c r="L60" s="248">
        <v>2</v>
      </c>
      <c r="O60" s="279" t="e">
        <f>D60/#REF!</f>
        <v>#REF!</v>
      </c>
    </row>
    <row r="61" spans="1:17" ht="15" customHeight="1">
      <c r="A61" s="132" t="s">
        <v>1595</v>
      </c>
      <c r="B61" s="251" t="s">
        <v>53</v>
      </c>
      <c r="C61" s="126" t="s">
        <v>174</v>
      </c>
      <c r="D61" s="274">
        <v>234.72185899999999</v>
      </c>
      <c r="E61" s="290">
        <v>35.536999999999999</v>
      </c>
      <c r="F61" s="284" t="s">
        <v>363</v>
      </c>
      <c r="G61" s="292" t="s">
        <v>363</v>
      </c>
      <c r="H61" s="299" t="s">
        <v>1231</v>
      </c>
      <c r="L61" s="248">
        <v>1</v>
      </c>
      <c r="O61" s="279" t="e">
        <f>D61/#REF!</f>
        <v>#REF!</v>
      </c>
    </row>
    <row r="62" spans="1:17" ht="15" customHeight="1">
      <c r="A62" s="419" t="s">
        <v>1583</v>
      </c>
      <c r="B62" s="420" t="s">
        <v>1889</v>
      </c>
      <c r="C62" s="421" t="s">
        <v>1904</v>
      </c>
      <c r="D62" s="274">
        <v>12.934529958677686</v>
      </c>
      <c r="E62" s="290">
        <v>2.1480000000000001</v>
      </c>
      <c r="F62" s="284" t="s">
        <v>363</v>
      </c>
      <c r="G62" s="282" t="s">
        <v>363</v>
      </c>
      <c r="H62" s="299" t="s">
        <v>1190</v>
      </c>
      <c r="J62" s="248">
        <f>18-16</f>
        <v>2</v>
      </c>
      <c r="L62" s="248">
        <v>3</v>
      </c>
      <c r="O62" s="279" t="e">
        <f>D62/#REF!</f>
        <v>#REF!</v>
      </c>
    </row>
    <row r="63" spans="1:17" ht="15" customHeight="1">
      <c r="A63" s="419" t="s">
        <v>1596</v>
      </c>
      <c r="B63" s="420" t="s">
        <v>54</v>
      </c>
      <c r="C63" s="421" t="s">
        <v>174</v>
      </c>
      <c r="D63" s="274">
        <v>211.01652892561984</v>
      </c>
      <c r="E63" s="280">
        <v>37.463000000000001</v>
      </c>
      <c r="F63" s="284" t="s">
        <v>363</v>
      </c>
      <c r="G63" s="282" t="s">
        <v>363</v>
      </c>
      <c r="H63" s="299">
        <v>1097</v>
      </c>
      <c r="I63" s="303" t="s">
        <v>1239</v>
      </c>
      <c r="L63" s="248">
        <v>3</v>
      </c>
      <c r="O63" s="279" t="e">
        <f>D63/#REF!</f>
        <v>#REF!</v>
      </c>
    </row>
    <row r="64" spans="1:17" ht="15" customHeight="1">
      <c r="A64" s="419" t="s">
        <v>55</v>
      </c>
      <c r="B64" s="420" t="s">
        <v>56</v>
      </c>
      <c r="C64" s="421" t="s">
        <v>1904</v>
      </c>
      <c r="D64" s="274">
        <v>12.934710743801654</v>
      </c>
      <c r="E64" s="304">
        <v>2.238</v>
      </c>
      <c r="F64" s="284" t="s">
        <v>363</v>
      </c>
      <c r="G64" s="282" t="s">
        <v>363</v>
      </c>
      <c r="H64" s="299">
        <v>1818</v>
      </c>
      <c r="L64" s="248">
        <v>3</v>
      </c>
      <c r="O64" s="279" t="e">
        <f>D64/#REF!</f>
        <v>#REF!</v>
      </c>
    </row>
    <row r="65" spans="1:15" ht="15" customHeight="1">
      <c r="A65" s="419" t="s">
        <v>51</v>
      </c>
      <c r="B65" s="420" t="s">
        <v>52</v>
      </c>
      <c r="C65" s="421" t="s">
        <v>1749</v>
      </c>
      <c r="D65" s="274">
        <v>44.327823691460061</v>
      </c>
      <c r="E65" s="290">
        <v>6.4249999999999998</v>
      </c>
      <c r="F65" s="284" t="s">
        <v>363</v>
      </c>
      <c r="G65" s="282" t="s">
        <v>363</v>
      </c>
      <c r="H65" s="299">
        <f>13-121</f>
        <v>-108</v>
      </c>
      <c r="L65" s="248">
        <v>3</v>
      </c>
      <c r="O65" s="279" t="e">
        <f>D65/#REF!</f>
        <v>#REF!</v>
      </c>
    </row>
    <row r="66" spans="1:15" ht="15" customHeight="1">
      <c r="A66" s="419" t="s">
        <v>1242</v>
      </c>
      <c r="B66" s="420" t="s">
        <v>1244</v>
      </c>
      <c r="C66" s="421" t="s">
        <v>174</v>
      </c>
      <c r="D66" s="274">
        <v>268.48347107438019</v>
      </c>
      <c r="E66" s="290">
        <v>37.276000000000003</v>
      </c>
      <c r="F66" s="284" t="s">
        <v>363</v>
      </c>
      <c r="G66" s="282" t="s">
        <v>363</v>
      </c>
      <c r="H66" s="299"/>
      <c r="O66" s="279" t="e">
        <f>D66/#REF!</f>
        <v>#REF!</v>
      </c>
    </row>
    <row r="67" spans="1:15" ht="15" customHeight="1">
      <c r="A67" s="132" t="s">
        <v>1243</v>
      </c>
      <c r="B67" s="251" t="s">
        <v>1245</v>
      </c>
      <c r="C67" s="126" t="s">
        <v>174</v>
      </c>
      <c r="D67" s="274">
        <v>119.08677685950414</v>
      </c>
      <c r="E67" s="290">
        <v>19.748999999999999</v>
      </c>
      <c r="F67" s="284" t="s">
        <v>363</v>
      </c>
      <c r="G67" s="282" t="s">
        <v>363</v>
      </c>
      <c r="H67" s="299"/>
      <c r="O67" s="279" t="e">
        <f>D67/#REF!</f>
        <v>#REF!</v>
      </c>
    </row>
    <row r="68" spans="1:15" ht="15" customHeight="1">
      <c r="A68" s="132" t="s">
        <v>173</v>
      </c>
      <c r="B68" s="251" t="s">
        <v>1217</v>
      </c>
      <c r="C68" s="126" t="s">
        <v>174</v>
      </c>
      <c r="D68" s="274">
        <v>23.859504132231407</v>
      </c>
      <c r="E68" s="305">
        <v>3.63</v>
      </c>
      <c r="F68" s="284" t="s">
        <v>363</v>
      </c>
      <c r="G68" s="282" t="s">
        <v>363</v>
      </c>
      <c r="H68" s="299"/>
      <c r="L68" s="248">
        <v>1</v>
      </c>
      <c r="O68" s="279" t="e">
        <f>D68/#REF!</f>
        <v>#REF!</v>
      </c>
    </row>
    <row r="69" spans="1:15" ht="15" customHeight="1">
      <c r="A69" s="132" t="s">
        <v>1218</v>
      </c>
      <c r="B69" s="251" t="s">
        <v>1219</v>
      </c>
      <c r="C69" s="126" t="s">
        <v>174</v>
      </c>
      <c r="D69" s="274">
        <v>32.834710743801651</v>
      </c>
      <c r="E69" s="305">
        <v>5.08</v>
      </c>
      <c r="F69" s="284" t="s">
        <v>363</v>
      </c>
      <c r="G69" s="282" t="s">
        <v>363</v>
      </c>
      <c r="H69" s="299"/>
      <c r="O69" s="279" t="e">
        <f>D69/#REF!</f>
        <v>#REF!</v>
      </c>
    </row>
    <row r="70" spans="1:15" ht="15" customHeight="1">
      <c r="A70" s="210" t="s">
        <v>574</v>
      </c>
      <c r="B70" s="252" t="s">
        <v>1403</v>
      </c>
      <c r="C70" s="126" t="s">
        <v>174</v>
      </c>
      <c r="D70" s="274">
        <v>3.0294000000000003</v>
      </c>
      <c r="E70" s="305">
        <v>0.27</v>
      </c>
      <c r="F70" s="284"/>
      <c r="G70" s="282"/>
      <c r="H70" s="299"/>
      <c r="O70" s="279" t="e">
        <f>D70/#REF!</f>
        <v>#REF!</v>
      </c>
    </row>
    <row r="71" spans="1:15" ht="15" customHeight="1">
      <c r="A71" s="132" t="s">
        <v>179</v>
      </c>
      <c r="B71" s="251" t="s">
        <v>20</v>
      </c>
      <c r="C71" s="126" t="s">
        <v>174</v>
      </c>
      <c r="D71" s="274">
        <v>700</v>
      </c>
      <c r="E71" s="306">
        <v>99.174000000000007</v>
      </c>
      <c r="F71" s="307" t="s">
        <v>363</v>
      </c>
      <c r="G71" s="292" t="s">
        <v>363</v>
      </c>
      <c r="H71" s="299">
        <f>0.78/1.21</f>
        <v>0.64462809917355379</v>
      </c>
      <c r="L71" s="248">
        <v>1</v>
      </c>
      <c r="O71" s="279" t="e">
        <f>D71/#REF!</f>
        <v>#REF!</v>
      </c>
    </row>
    <row r="72" spans="1:15" ht="15" customHeight="1">
      <c r="A72" s="210" t="s">
        <v>577</v>
      </c>
      <c r="B72" s="251" t="s">
        <v>180</v>
      </c>
      <c r="C72" s="126" t="s">
        <v>174</v>
      </c>
      <c r="D72" s="274">
        <v>91.337603305785123</v>
      </c>
      <c r="E72" s="308">
        <v>25.564</v>
      </c>
      <c r="F72" s="291" t="s">
        <v>363</v>
      </c>
      <c r="G72" s="282" t="s">
        <v>363</v>
      </c>
      <c r="H72" s="299" t="s">
        <v>1103</v>
      </c>
      <c r="L72" s="248">
        <v>3</v>
      </c>
      <c r="O72" s="279" t="e">
        <f>D72/#REF!</f>
        <v>#REF!</v>
      </c>
    </row>
    <row r="73" spans="1:15" ht="15" customHeight="1">
      <c r="A73" s="210" t="s">
        <v>579</v>
      </c>
      <c r="B73" s="251" t="s">
        <v>1413</v>
      </c>
      <c r="C73" s="126" t="s">
        <v>1749</v>
      </c>
      <c r="D73" s="274">
        <v>7.8132000000000001</v>
      </c>
      <c r="E73" s="308"/>
      <c r="F73" s="291"/>
      <c r="G73" s="282"/>
      <c r="H73" s="299"/>
      <c r="O73" s="279" t="e">
        <f>D73/#REF!</f>
        <v>#REF!</v>
      </c>
    </row>
    <row r="74" spans="1:15" ht="15" customHeight="1">
      <c r="A74" s="210" t="s">
        <v>580</v>
      </c>
      <c r="B74" s="251" t="s">
        <v>57</v>
      </c>
      <c r="C74" s="126" t="s">
        <v>1749</v>
      </c>
      <c r="D74" s="274">
        <v>4.74</v>
      </c>
      <c r="E74" s="280">
        <v>0.55200000000000005</v>
      </c>
      <c r="F74" s="281" t="s">
        <v>363</v>
      </c>
      <c r="G74" s="282" t="s">
        <v>363</v>
      </c>
      <c r="H74" s="299"/>
      <c r="L74" s="248">
        <v>3</v>
      </c>
      <c r="O74" s="279" t="e">
        <f>D74/#REF!</f>
        <v>#REF!</v>
      </c>
    </row>
    <row r="75" spans="1:15" ht="15" customHeight="1">
      <c r="A75" s="210" t="s">
        <v>581</v>
      </c>
      <c r="B75" s="252" t="s">
        <v>1370</v>
      </c>
      <c r="C75" s="126" t="s">
        <v>1749</v>
      </c>
      <c r="D75" s="274">
        <v>20.4222</v>
      </c>
      <c r="E75" s="280">
        <v>2.8069999999999999</v>
      </c>
      <c r="F75" s="281"/>
      <c r="G75" s="282"/>
      <c r="H75" s="299"/>
      <c r="O75" s="279" t="e">
        <f>D75/#REF!</f>
        <v>#REF!</v>
      </c>
    </row>
    <row r="76" spans="1:15" ht="15" customHeight="1">
      <c r="A76" s="210" t="s">
        <v>585</v>
      </c>
      <c r="B76" s="252" t="s">
        <v>1250</v>
      </c>
      <c r="C76" s="126" t="s">
        <v>174</v>
      </c>
      <c r="D76" s="274">
        <v>2.8178999999999998</v>
      </c>
      <c r="E76" s="280">
        <v>0.42599999999999999</v>
      </c>
      <c r="F76" s="281"/>
      <c r="G76" s="282"/>
      <c r="H76" s="299"/>
      <c r="O76" s="279" t="e">
        <f>D76/#REF!</f>
        <v>#REF!</v>
      </c>
    </row>
    <row r="77" spans="1:15" ht="15" customHeight="1">
      <c r="A77" s="210" t="s">
        <v>590</v>
      </c>
      <c r="B77" s="252" t="s">
        <v>1395</v>
      </c>
      <c r="C77" s="126" t="s">
        <v>174</v>
      </c>
      <c r="D77" s="274">
        <v>5.7569999999999997</v>
      </c>
      <c r="E77" s="280">
        <v>0.83</v>
      </c>
      <c r="F77" s="281"/>
      <c r="G77" s="282"/>
      <c r="H77" s="299"/>
      <c r="O77" s="279" t="e">
        <f>D77/#REF!</f>
        <v>#REF!</v>
      </c>
    </row>
    <row r="78" spans="1:15" ht="15" customHeight="1">
      <c r="A78" s="210" t="s">
        <v>591</v>
      </c>
      <c r="B78" s="252" t="s">
        <v>1394</v>
      </c>
      <c r="C78" s="126" t="s">
        <v>174</v>
      </c>
      <c r="D78" s="274">
        <v>2.5851239669421489</v>
      </c>
      <c r="E78" s="280">
        <v>0.39</v>
      </c>
      <c r="F78" s="281"/>
      <c r="G78" s="282"/>
      <c r="H78" s="299"/>
      <c r="O78" s="279" t="e">
        <f>D78/#REF!</f>
        <v>#REF!</v>
      </c>
    </row>
    <row r="79" spans="1:15" ht="15" customHeight="1">
      <c r="A79" s="210" t="s">
        <v>592</v>
      </c>
      <c r="B79" s="252" t="s">
        <v>1396</v>
      </c>
      <c r="C79" s="126" t="s">
        <v>174</v>
      </c>
      <c r="D79" s="274">
        <v>10.542</v>
      </c>
      <c r="E79" s="280">
        <v>1.3</v>
      </c>
      <c r="F79" s="281"/>
      <c r="G79" s="282"/>
      <c r="H79" s="299"/>
      <c r="O79" s="279" t="e">
        <f>D79/#REF!</f>
        <v>#REF!</v>
      </c>
    </row>
    <row r="80" spans="1:15" ht="15" customHeight="1">
      <c r="A80" s="210" t="s">
        <v>593</v>
      </c>
      <c r="B80" s="251" t="s">
        <v>1891</v>
      </c>
      <c r="C80" s="126" t="s">
        <v>174</v>
      </c>
      <c r="D80" s="274">
        <v>5.593</v>
      </c>
      <c r="E80" s="280">
        <v>0.79800000000000004</v>
      </c>
      <c r="F80" s="281" t="s">
        <v>363</v>
      </c>
      <c r="G80" s="282" t="s">
        <v>363</v>
      </c>
      <c r="H80" s="299"/>
      <c r="L80" s="248">
        <v>3</v>
      </c>
      <c r="O80" s="279" t="e">
        <f>D80/#REF!</f>
        <v>#REF!</v>
      </c>
    </row>
    <row r="81" spans="1:17" ht="15" customHeight="1">
      <c r="A81" s="210" t="s">
        <v>597</v>
      </c>
      <c r="B81" s="251" t="s">
        <v>222</v>
      </c>
      <c r="C81" s="126" t="s">
        <v>174</v>
      </c>
      <c r="D81" s="274">
        <v>47.61054</v>
      </c>
      <c r="E81" s="280">
        <v>5.3949999999999996</v>
      </c>
      <c r="F81" s="281" t="s">
        <v>363</v>
      </c>
      <c r="G81" s="282" t="s">
        <v>363</v>
      </c>
      <c r="H81" s="299"/>
      <c r="L81" s="248">
        <v>3</v>
      </c>
      <c r="O81" s="279" t="e">
        <f>D81/#REF!</f>
        <v>#REF!</v>
      </c>
    </row>
    <row r="82" spans="1:17" ht="15" customHeight="1">
      <c r="A82" s="247" t="s">
        <v>598</v>
      </c>
      <c r="B82" s="251" t="s">
        <v>1381</v>
      </c>
      <c r="C82" s="128" t="s">
        <v>174</v>
      </c>
      <c r="D82" s="274">
        <v>59.633126999999995</v>
      </c>
      <c r="E82" s="280">
        <v>6.46</v>
      </c>
      <c r="F82" s="309"/>
      <c r="G82" s="292"/>
      <c r="H82" s="299"/>
      <c r="O82" s="279" t="e">
        <f>D82/#REF!</f>
        <v>#REF!</v>
      </c>
    </row>
    <row r="83" spans="1:17" ht="15" customHeight="1">
      <c r="A83" s="210" t="s">
        <v>602</v>
      </c>
      <c r="B83" s="251" t="s">
        <v>223</v>
      </c>
      <c r="C83" s="126" t="s">
        <v>174</v>
      </c>
      <c r="D83" s="274">
        <v>46.739280000000001</v>
      </c>
      <c r="E83" s="280">
        <v>4.0590000000000002</v>
      </c>
      <c r="F83" s="281" t="s">
        <v>363</v>
      </c>
      <c r="G83" s="282" t="s">
        <v>363</v>
      </c>
      <c r="H83" s="299"/>
      <c r="L83" s="248">
        <v>3</v>
      </c>
      <c r="O83" s="279" t="e">
        <f>D83/#REF!</f>
        <v>#REF!</v>
      </c>
    </row>
    <row r="84" spans="1:17" ht="15" customHeight="1">
      <c r="A84" s="210" t="s">
        <v>609</v>
      </c>
      <c r="B84" s="251" t="s">
        <v>1890</v>
      </c>
      <c r="C84" s="126" t="s">
        <v>174</v>
      </c>
      <c r="D84" s="274">
        <v>27.7007376</v>
      </c>
      <c r="E84" s="290">
        <v>2.363</v>
      </c>
      <c r="F84" s="281" t="s">
        <v>363</v>
      </c>
      <c r="G84" s="282" t="s">
        <v>363</v>
      </c>
      <c r="H84" s="299"/>
      <c r="L84" s="248">
        <v>3</v>
      </c>
      <c r="O84" s="279" t="e">
        <f>D84/#REF!</f>
        <v>#REF!</v>
      </c>
    </row>
    <row r="85" spans="1:17" ht="15" customHeight="1">
      <c r="A85" s="210" t="s">
        <v>617</v>
      </c>
      <c r="B85" s="251" t="s">
        <v>1925</v>
      </c>
      <c r="C85" s="126" t="s">
        <v>174</v>
      </c>
      <c r="D85" s="274">
        <v>18360</v>
      </c>
      <c r="E85" s="308">
        <f>3500/1.21</f>
        <v>2892.5619834710747</v>
      </c>
      <c r="F85" s="291" t="s">
        <v>363</v>
      </c>
      <c r="G85" s="292"/>
      <c r="H85" s="299"/>
      <c r="L85" s="248">
        <v>2</v>
      </c>
      <c r="O85" s="279" t="e">
        <f>D85/#REF!</f>
        <v>#REF!</v>
      </c>
    </row>
    <row r="86" spans="1:17" ht="15" customHeight="1">
      <c r="A86" s="247" t="s">
        <v>619</v>
      </c>
      <c r="B86" s="252" t="s">
        <v>1246</v>
      </c>
      <c r="C86" s="128" t="s">
        <v>174</v>
      </c>
      <c r="D86" s="274">
        <v>82.56</v>
      </c>
      <c r="E86" s="310"/>
      <c r="F86" s="311">
        <v>12.521000000000001</v>
      </c>
      <c r="G86" s="292"/>
      <c r="H86" s="299"/>
      <c r="O86" s="279" t="e">
        <f>D86/#REF!</f>
        <v>#REF!</v>
      </c>
    </row>
    <row r="87" spans="1:17" ht="15" customHeight="1">
      <c r="A87" s="247" t="s">
        <v>620</v>
      </c>
      <c r="B87" s="252" t="s">
        <v>1247</v>
      </c>
      <c r="C87" s="128" t="s">
        <v>174</v>
      </c>
      <c r="D87" s="274">
        <v>241.07623966942148</v>
      </c>
      <c r="E87" s="310"/>
      <c r="F87" s="311">
        <f>17.564/1.21</f>
        <v>14.515702479338843</v>
      </c>
      <c r="G87" s="292"/>
      <c r="H87" s="299"/>
      <c r="O87" s="279" t="e">
        <f>D87/#REF!</f>
        <v>#REF!</v>
      </c>
    </row>
    <row r="88" spans="1:17" ht="15" customHeight="1">
      <c r="A88" s="134" t="s">
        <v>1405</v>
      </c>
      <c r="B88" s="406" t="s">
        <v>1248</v>
      </c>
      <c r="C88" s="128" t="s">
        <v>174</v>
      </c>
      <c r="D88" s="274"/>
      <c r="E88" s="310"/>
      <c r="F88" s="311">
        <f>13.254/1.21</f>
        <v>10.953719008264462</v>
      </c>
      <c r="G88" s="292"/>
      <c r="H88" s="299"/>
      <c r="O88" s="279" t="e">
        <f>D88/#REF!</f>
        <v>#REF!</v>
      </c>
      <c r="Q88" s="408" t="s">
        <v>1966</v>
      </c>
    </row>
    <row r="89" spans="1:17" ht="15" customHeight="1">
      <c r="A89" s="134" t="s">
        <v>1406</v>
      </c>
      <c r="B89" s="253" t="s">
        <v>1251</v>
      </c>
      <c r="C89" s="128" t="s">
        <v>174</v>
      </c>
      <c r="D89" s="274"/>
      <c r="E89" s="310"/>
      <c r="F89" s="312">
        <v>0.27</v>
      </c>
      <c r="G89" s="292"/>
      <c r="H89" s="299"/>
      <c r="O89" s="279" t="e">
        <f>D89/#REF!</f>
        <v>#REF!</v>
      </c>
      <c r="Q89" s="408" t="s">
        <v>1966</v>
      </c>
    </row>
    <row r="90" spans="1:17" ht="15" customHeight="1">
      <c r="A90" s="134" t="s">
        <v>1407</v>
      </c>
      <c r="B90" s="253" t="s">
        <v>1252</v>
      </c>
      <c r="C90" s="128" t="s">
        <v>174</v>
      </c>
      <c r="D90" s="274"/>
      <c r="E90" s="310"/>
      <c r="F90" s="312">
        <v>0.63</v>
      </c>
      <c r="G90" s="292"/>
      <c r="H90" s="299"/>
      <c r="O90" s="279" t="e">
        <f>D90/#REF!</f>
        <v>#REF!</v>
      </c>
      <c r="Q90" s="408" t="s">
        <v>1966</v>
      </c>
    </row>
    <row r="91" spans="1:17" ht="15" customHeight="1">
      <c r="A91" s="247" t="s">
        <v>621</v>
      </c>
      <c r="B91" s="252" t="s">
        <v>1253</v>
      </c>
      <c r="C91" s="128" t="s">
        <v>174</v>
      </c>
      <c r="D91" s="274">
        <v>5.2481404958677693</v>
      </c>
      <c r="E91" s="310"/>
      <c r="F91" s="312">
        <f>0.443/1.21</f>
        <v>0.36611570247933883</v>
      </c>
      <c r="G91" s="292"/>
      <c r="H91" s="299"/>
      <c r="O91" s="279" t="e">
        <f>D91/#REF!</f>
        <v>#REF!</v>
      </c>
    </row>
    <row r="92" spans="1:17" ht="15" customHeight="1">
      <c r="A92" s="134" t="s">
        <v>1408</v>
      </c>
      <c r="B92" s="254" t="s">
        <v>419</v>
      </c>
      <c r="C92" s="128" t="s">
        <v>174</v>
      </c>
      <c r="D92" s="274">
        <v>245.9118</v>
      </c>
      <c r="E92" s="310"/>
      <c r="F92" s="312">
        <f>3.21/1.21</f>
        <v>2.6528925619834713</v>
      </c>
      <c r="G92" s="292"/>
      <c r="H92" s="299"/>
      <c r="O92" s="279" t="e">
        <f>D92/#REF!</f>
        <v>#REF!</v>
      </c>
    </row>
    <row r="93" spans="1:17" ht="15" customHeight="1">
      <c r="A93" s="137" t="s">
        <v>1409</v>
      </c>
      <c r="B93" s="252" t="s">
        <v>1255</v>
      </c>
      <c r="C93" s="128" t="s">
        <v>174</v>
      </c>
      <c r="D93" s="274">
        <v>14.836103999999999</v>
      </c>
      <c r="E93" s="310"/>
      <c r="F93" s="313">
        <f>5.51/1.21</f>
        <v>4.553719008264463</v>
      </c>
      <c r="G93" s="292"/>
      <c r="H93" s="299"/>
      <c r="O93" s="279" t="e">
        <f>D93/#REF!</f>
        <v>#REF!</v>
      </c>
    </row>
    <row r="94" spans="1:17" ht="15" customHeight="1">
      <c r="A94" s="137" t="s">
        <v>1410</v>
      </c>
      <c r="B94" s="252" t="s">
        <v>1256</v>
      </c>
      <c r="C94" s="128" t="s">
        <v>174</v>
      </c>
      <c r="D94" s="274">
        <v>14.836103999999999</v>
      </c>
      <c r="E94" s="310"/>
      <c r="F94" s="313">
        <f>6.76/1.21</f>
        <v>5.5867768595041323</v>
      </c>
      <c r="G94" s="292"/>
      <c r="H94" s="299"/>
      <c r="O94" s="279" t="e">
        <f>D94/#REF!</f>
        <v>#REF!</v>
      </c>
    </row>
    <row r="95" spans="1:17" ht="15" customHeight="1">
      <c r="A95" s="137"/>
      <c r="B95" s="252"/>
      <c r="C95" s="128"/>
      <c r="D95" s="274"/>
      <c r="E95" s="310"/>
      <c r="F95" s="313">
        <f>5.683/1.21</f>
        <v>4.6966942148760333</v>
      </c>
      <c r="G95" s="292"/>
      <c r="H95" s="299"/>
      <c r="O95" s="279" t="e">
        <f>D95/#REF!</f>
        <v>#REF!</v>
      </c>
      <c r="Q95" s="408" t="s">
        <v>1966</v>
      </c>
    </row>
    <row r="96" spans="1:17" ht="15" customHeight="1">
      <c r="A96" s="247" t="s">
        <v>623</v>
      </c>
      <c r="B96" s="252" t="s">
        <v>1257</v>
      </c>
      <c r="C96" s="128" t="s">
        <v>174</v>
      </c>
      <c r="D96" s="274">
        <v>2.609822592</v>
      </c>
      <c r="E96" s="310"/>
      <c r="F96" s="312">
        <f>0.39/1.21</f>
        <v>0.3223140495867769</v>
      </c>
      <c r="G96" s="292"/>
      <c r="H96" s="299"/>
      <c r="O96" s="279" t="e">
        <f>D96/#REF!</f>
        <v>#REF!</v>
      </c>
    </row>
    <row r="97" spans="1:18" ht="15" customHeight="1">
      <c r="A97" s="247" t="s">
        <v>624</v>
      </c>
      <c r="B97" s="252" t="s">
        <v>1258</v>
      </c>
      <c r="C97" s="128" t="s">
        <v>174</v>
      </c>
      <c r="D97" s="274">
        <v>9.0030991735537196</v>
      </c>
      <c r="E97" s="310"/>
      <c r="F97" s="312">
        <f>0.755/1.21</f>
        <v>0.62396694214876036</v>
      </c>
      <c r="G97" s="292"/>
      <c r="H97" s="299"/>
      <c r="O97" s="279" t="e">
        <f>D97/#REF!</f>
        <v>#REF!</v>
      </c>
    </row>
    <row r="98" spans="1:18" ht="15" customHeight="1">
      <c r="A98" s="247" t="s">
        <v>625</v>
      </c>
      <c r="B98" s="252" t="s">
        <v>1259</v>
      </c>
      <c r="C98" s="128" t="s">
        <v>174</v>
      </c>
      <c r="D98" s="274">
        <v>11.180165289256198</v>
      </c>
      <c r="E98" s="310"/>
      <c r="F98" s="312">
        <f>1.079/1.21</f>
        <v>0.89173553719008258</v>
      </c>
      <c r="G98" s="292"/>
      <c r="H98" s="299"/>
      <c r="O98" s="279" t="e">
        <f>D98/#REF!</f>
        <v>#REF!</v>
      </c>
    </row>
    <row r="99" spans="1:18" ht="15" customHeight="1">
      <c r="A99" s="134" t="s">
        <v>1411</v>
      </c>
      <c r="B99" s="253" t="s">
        <v>1260</v>
      </c>
      <c r="C99" s="128" t="s">
        <v>174</v>
      </c>
      <c r="D99" s="274"/>
      <c r="E99" s="310"/>
      <c r="F99" s="313">
        <f>E82</f>
        <v>6.46</v>
      </c>
      <c r="G99" s="292"/>
      <c r="H99" s="299"/>
      <c r="O99" s="279" t="e">
        <f>D99/#REF!</f>
        <v>#REF!</v>
      </c>
      <c r="Q99" s="408" t="s">
        <v>1966</v>
      </c>
    </row>
    <row r="100" spans="1:18" ht="15" customHeight="1">
      <c r="A100" s="247" t="s">
        <v>626</v>
      </c>
      <c r="B100" s="252" t="s">
        <v>1261</v>
      </c>
      <c r="C100" s="128" t="s">
        <v>174</v>
      </c>
      <c r="D100" s="274">
        <v>2.3559917355371898</v>
      </c>
      <c r="E100" s="310"/>
      <c r="F100" s="312">
        <v>0.28000000000000003</v>
      </c>
      <c r="G100" s="292"/>
      <c r="H100" s="299"/>
      <c r="O100" s="279" t="e">
        <f>D100/#REF!</f>
        <v>#REF!</v>
      </c>
    </row>
    <row r="101" spans="1:18" ht="15" customHeight="1">
      <c r="A101" s="137" t="s">
        <v>1262</v>
      </c>
      <c r="B101" s="252" t="s">
        <v>1263</v>
      </c>
      <c r="C101" s="128" t="s">
        <v>174</v>
      </c>
      <c r="D101" s="274">
        <v>18.679667999999999</v>
      </c>
      <c r="E101" s="310">
        <f>E78</f>
        <v>0.39</v>
      </c>
      <c r="F101" s="313"/>
      <c r="G101" s="292"/>
      <c r="H101" s="299"/>
      <c r="O101" s="279" t="e">
        <f>D101/#REF!</f>
        <v>#REF!</v>
      </c>
    </row>
    <row r="102" spans="1:18" ht="15" customHeight="1">
      <c r="A102" s="247" t="s">
        <v>627</v>
      </c>
      <c r="B102" s="252" t="s">
        <v>1264</v>
      </c>
      <c r="C102" s="128" t="s">
        <v>174</v>
      </c>
      <c r="D102" s="274">
        <v>11.932851239669422</v>
      </c>
      <c r="E102" s="310"/>
      <c r="F102" s="312">
        <v>1.66</v>
      </c>
      <c r="G102" s="292"/>
      <c r="H102" s="299"/>
      <c r="O102" s="279" t="e">
        <f>D102/#REF!</f>
        <v>#REF!</v>
      </c>
    </row>
    <row r="103" spans="1:18" ht="15" customHeight="1">
      <c r="A103" s="137" t="s">
        <v>628</v>
      </c>
      <c r="B103" s="252" t="s">
        <v>629</v>
      </c>
      <c r="C103" s="128" t="s">
        <v>174</v>
      </c>
      <c r="D103" s="274">
        <v>3.8752694352000003</v>
      </c>
      <c r="E103" s="314">
        <f>E79</f>
        <v>1.3</v>
      </c>
      <c r="F103" s="313"/>
      <c r="G103" s="292"/>
      <c r="H103" s="299"/>
      <c r="O103" s="279" t="e">
        <f>D103/#REF!</f>
        <v>#REF!</v>
      </c>
    </row>
    <row r="104" spans="1:18" ht="15" customHeight="1">
      <c r="A104" s="137" t="s">
        <v>630</v>
      </c>
      <c r="B104" s="254" t="s">
        <v>1574</v>
      </c>
      <c r="C104" s="128" t="s">
        <v>174</v>
      </c>
      <c r="D104" s="274">
        <v>5.8343999999999996</v>
      </c>
      <c r="E104" s="310">
        <f>E77</f>
        <v>0.83</v>
      </c>
      <c r="F104" s="313"/>
      <c r="G104" s="315"/>
      <c r="H104" s="299"/>
      <c r="O104" s="279" t="e">
        <f>D104/#REF!</f>
        <v>#REF!</v>
      </c>
    </row>
    <row r="105" spans="1:18" ht="15" customHeight="1">
      <c r="A105" s="134" t="s">
        <v>1311</v>
      </c>
      <c r="B105" s="252" t="s">
        <v>1249</v>
      </c>
      <c r="C105" s="128" t="s">
        <v>174</v>
      </c>
      <c r="D105" s="274">
        <v>18.679667999999999</v>
      </c>
      <c r="E105" s="310"/>
      <c r="F105" s="311">
        <v>0.32500000000000001</v>
      </c>
      <c r="G105" s="315"/>
      <c r="H105" s="299"/>
      <c r="O105" s="279" t="e">
        <f>D105/#REF!</f>
        <v>#REF!</v>
      </c>
    </row>
    <row r="106" spans="1:18" ht="15" customHeight="1">
      <c r="A106" s="132" t="s">
        <v>1312</v>
      </c>
      <c r="B106" s="251" t="s">
        <v>1892</v>
      </c>
      <c r="C106" s="126" t="s">
        <v>174</v>
      </c>
      <c r="D106" s="274">
        <v>669322.67599999986</v>
      </c>
      <c r="E106" s="316">
        <v>72479.335900000005</v>
      </c>
      <c r="F106" s="317"/>
      <c r="G106" s="292"/>
      <c r="H106" s="299" t="s">
        <v>1104</v>
      </c>
      <c r="L106" s="248">
        <v>1</v>
      </c>
      <c r="O106" s="279" t="e">
        <f>D106/#REF!</f>
        <v>#REF!</v>
      </c>
    </row>
    <row r="107" spans="1:18" ht="15" hidden="1" customHeight="1">
      <c r="A107" s="430" t="s">
        <v>413</v>
      </c>
      <c r="B107" s="431" t="s">
        <v>1892</v>
      </c>
      <c r="C107" s="432" t="s">
        <v>1863</v>
      </c>
      <c r="D107" s="433">
        <v>589391.3424764009</v>
      </c>
      <c r="E107" s="316">
        <v>0</v>
      </c>
      <c r="F107" s="317"/>
      <c r="G107" s="318"/>
      <c r="H107" s="299"/>
      <c r="K107" s="248">
        <f>87600/1.21</f>
        <v>72396.694214876028</v>
      </c>
      <c r="O107" s="279" t="e">
        <f>D107/#REF!</f>
        <v>#REF!</v>
      </c>
    </row>
    <row r="108" spans="1:18" ht="15" customHeight="1">
      <c r="A108" s="132" t="s">
        <v>1313</v>
      </c>
      <c r="B108" s="251" t="s">
        <v>1893</v>
      </c>
      <c r="C108" s="126" t="s">
        <v>174</v>
      </c>
      <c r="D108" s="274">
        <v>131446.15</v>
      </c>
      <c r="E108" s="316">
        <v>12231.4053</v>
      </c>
      <c r="F108" s="284"/>
      <c r="G108" s="318"/>
      <c r="H108" s="299" t="s">
        <v>1104</v>
      </c>
      <c r="L108" s="248">
        <v>1</v>
      </c>
      <c r="O108" s="279" t="e">
        <f>D108/#REF!</f>
        <v>#REF!</v>
      </c>
    </row>
    <row r="109" spans="1:18" ht="15" customHeight="1">
      <c r="A109" s="132" t="s">
        <v>1576</v>
      </c>
      <c r="B109" s="251" t="s">
        <v>272</v>
      </c>
      <c r="C109" s="126" t="s">
        <v>1863</v>
      </c>
      <c r="D109" s="274">
        <v>557.08467748239605</v>
      </c>
      <c r="E109" s="316">
        <v>72.429000000000002</v>
      </c>
      <c r="F109" s="319"/>
      <c r="G109" s="318"/>
      <c r="H109" s="299"/>
      <c r="O109" s="279" t="e">
        <f>D109/#REF!</f>
        <v>#REF!</v>
      </c>
      <c r="R109" s="415" t="s">
        <v>1967</v>
      </c>
    </row>
    <row r="110" spans="1:18" ht="15" customHeight="1">
      <c r="A110" s="210" t="s">
        <v>1581</v>
      </c>
      <c r="B110" s="251" t="s">
        <v>273</v>
      </c>
      <c r="C110" s="126" t="s">
        <v>1863</v>
      </c>
      <c r="D110" s="274">
        <v>827.71566885125844</v>
      </c>
      <c r="E110" s="316">
        <v>105.05</v>
      </c>
      <c r="F110" s="319"/>
      <c r="G110" s="292"/>
      <c r="H110" s="299"/>
      <c r="L110" s="248">
        <v>1</v>
      </c>
      <c r="O110" s="279" t="e">
        <f>D110/#REF!</f>
        <v>#REF!</v>
      </c>
      <c r="R110" s="409" t="s">
        <v>1968</v>
      </c>
    </row>
    <row r="111" spans="1:18" ht="15" customHeight="1">
      <c r="A111" s="132" t="s">
        <v>1894</v>
      </c>
      <c r="B111" s="251" t="s">
        <v>274</v>
      </c>
      <c r="C111" s="126" t="s">
        <v>1863</v>
      </c>
      <c r="D111" s="274">
        <v>459.57242883996059</v>
      </c>
      <c r="E111" s="316">
        <v>63.716000000000001</v>
      </c>
      <c r="F111" s="319"/>
      <c r="G111" s="320"/>
      <c r="H111" s="299"/>
      <c r="L111" s="248">
        <v>1</v>
      </c>
      <c r="O111" s="279" t="e">
        <f>D111/#REF!</f>
        <v>#REF!</v>
      </c>
      <c r="R111" s="409" t="s">
        <v>1969</v>
      </c>
    </row>
    <row r="112" spans="1:18" ht="15" customHeight="1">
      <c r="A112" s="132" t="s">
        <v>1950</v>
      </c>
      <c r="B112" s="251" t="s">
        <v>1895</v>
      </c>
      <c r="C112" s="126" t="s">
        <v>344</v>
      </c>
      <c r="D112" s="274">
        <v>9.5867768595041323</v>
      </c>
      <c r="E112" s="316">
        <v>1.216</v>
      </c>
      <c r="F112" s="284"/>
      <c r="G112" s="318"/>
      <c r="H112" s="299" t="s">
        <v>1104</v>
      </c>
      <c r="L112" s="248">
        <v>1</v>
      </c>
      <c r="O112" s="279" t="e">
        <f>D112/#REF!</f>
        <v>#REF!</v>
      </c>
    </row>
    <row r="113" spans="1:18" ht="15" customHeight="1">
      <c r="A113" s="132" t="s">
        <v>1858</v>
      </c>
      <c r="B113" s="251" t="s">
        <v>113</v>
      </c>
      <c r="C113" s="126" t="s">
        <v>174</v>
      </c>
      <c r="D113" s="274">
        <v>1230748.494155</v>
      </c>
      <c r="E113" s="316">
        <v>255078.03</v>
      </c>
      <c r="F113" s="321"/>
      <c r="G113" s="320"/>
      <c r="H113" s="322"/>
      <c r="L113" s="248">
        <v>1</v>
      </c>
      <c r="O113" s="279" t="e">
        <f>D113/#REF!</f>
        <v>#REF!</v>
      </c>
    </row>
    <row r="114" spans="1:18" ht="15" customHeight="1">
      <c r="A114" s="132" t="s">
        <v>1852</v>
      </c>
      <c r="B114" s="251" t="s">
        <v>113</v>
      </c>
      <c r="C114" s="126" t="s">
        <v>1863</v>
      </c>
      <c r="D114" s="274">
        <v>459.57242883996059</v>
      </c>
      <c r="E114" s="316">
        <v>63.716000000000001</v>
      </c>
      <c r="F114" s="319"/>
      <c r="G114" s="318"/>
      <c r="H114" s="322"/>
      <c r="O114" s="279" t="e">
        <f>D114/#REF!</f>
        <v>#REF!</v>
      </c>
      <c r="R114" s="408" t="s">
        <v>1980</v>
      </c>
    </row>
    <row r="115" spans="1:18" ht="15" customHeight="1">
      <c r="A115" s="132" t="s">
        <v>1951</v>
      </c>
      <c r="B115" s="251" t="s">
        <v>115</v>
      </c>
      <c r="C115" s="126" t="s">
        <v>174</v>
      </c>
      <c r="D115" s="274">
        <v>1783949.9999999998</v>
      </c>
      <c r="E115" s="316">
        <v>413569.64</v>
      </c>
      <c r="F115" s="321"/>
      <c r="G115" s="320"/>
      <c r="H115" s="322"/>
      <c r="L115" s="248">
        <v>1</v>
      </c>
      <c r="O115" s="279" t="e">
        <f>D115/#REF!</f>
        <v>#REF!</v>
      </c>
    </row>
    <row r="116" spans="1:18" ht="15" customHeight="1">
      <c r="A116" s="132" t="s">
        <v>1753</v>
      </c>
      <c r="B116" s="251" t="s">
        <v>1952</v>
      </c>
      <c r="C116" s="126" t="s">
        <v>1863</v>
      </c>
      <c r="D116" s="274">
        <v>680.15752451106016</v>
      </c>
      <c r="E116" s="316">
        <v>105.834</v>
      </c>
      <c r="F116" s="319"/>
      <c r="G116" s="318"/>
      <c r="H116" s="322"/>
      <c r="O116" s="279" t="e">
        <f>D116/#REF!</f>
        <v>#REF!</v>
      </c>
    </row>
    <row r="117" spans="1:18" ht="15" customHeight="1">
      <c r="A117" s="132" t="s">
        <v>1776</v>
      </c>
      <c r="B117" s="251" t="s">
        <v>116</v>
      </c>
      <c r="C117" s="126" t="s">
        <v>174</v>
      </c>
      <c r="D117" s="274">
        <v>1218370.2334299583</v>
      </c>
      <c r="E117" s="316">
        <v>212400</v>
      </c>
      <c r="F117" s="321"/>
      <c r="G117" s="320"/>
      <c r="H117" s="322"/>
      <c r="I117" s="299" t="s">
        <v>1105</v>
      </c>
      <c r="L117" s="248">
        <v>1</v>
      </c>
      <c r="O117" s="279" t="e">
        <f>D117/#REF!</f>
        <v>#REF!</v>
      </c>
    </row>
    <row r="118" spans="1:18" ht="15" customHeight="1">
      <c r="A118" s="132" t="s">
        <v>1953</v>
      </c>
      <c r="B118" s="251" t="s">
        <v>116</v>
      </c>
      <c r="C118" s="126" t="s">
        <v>1863</v>
      </c>
      <c r="D118" s="274">
        <v>557.08467748239605</v>
      </c>
      <c r="E118" s="316">
        <v>72.429000000000002</v>
      </c>
      <c r="F118" s="319"/>
      <c r="G118" s="318"/>
      <c r="H118" s="322"/>
      <c r="O118" s="323" t="e">
        <f>D118/#REF!</f>
        <v>#REF!</v>
      </c>
      <c r="R118" s="408" t="s">
        <v>1980</v>
      </c>
    </row>
    <row r="119" spans="1:18" ht="15" customHeight="1">
      <c r="A119" s="132" t="s">
        <v>1954</v>
      </c>
      <c r="B119" s="251" t="s">
        <v>114</v>
      </c>
      <c r="C119" s="126" t="s">
        <v>174</v>
      </c>
      <c r="D119" s="274">
        <v>1570215.8255603821</v>
      </c>
      <c r="E119" s="316">
        <v>379549.53</v>
      </c>
      <c r="F119" s="321"/>
      <c r="G119" s="320"/>
      <c r="H119" s="322"/>
      <c r="L119" s="248">
        <v>1</v>
      </c>
      <c r="O119" s="323" t="e">
        <f>D119/#REF!</f>
        <v>#REF!</v>
      </c>
    </row>
    <row r="120" spans="1:18" ht="15" customHeight="1">
      <c r="A120" s="132" t="s">
        <v>1775</v>
      </c>
      <c r="B120" s="251" t="s">
        <v>114</v>
      </c>
      <c r="C120" s="126" t="s">
        <v>1863</v>
      </c>
      <c r="D120" s="274">
        <v>534.43640674758615</v>
      </c>
      <c r="E120" s="316">
        <v>92.042000000000002</v>
      </c>
      <c r="F120" s="319"/>
      <c r="G120" s="318"/>
      <c r="H120" s="322"/>
      <c r="O120" s="323" t="e">
        <f>D120/#REF!</f>
        <v>#REF!</v>
      </c>
    </row>
    <row r="121" spans="1:18" ht="15" customHeight="1">
      <c r="A121" s="132" t="s">
        <v>1955</v>
      </c>
      <c r="B121" s="251" t="s">
        <v>1956</v>
      </c>
      <c r="C121" s="126" t="s">
        <v>174</v>
      </c>
      <c r="D121" s="274">
        <v>988398.04351058416</v>
      </c>
      <c r="E121" s="316">
        <v>236000</v>
      </c>
      <c r="F121" s="321"/>
      <c r="G121" s="320"/>
      <c r="H121" s="322"/>
      <c r="L121" s="248">
        <v>1</v>
      </c>
      <c r="O121" s="323" t="e">
        <f>D121/#REF!</f>
        <v>#REF!</v>
      </c>
    </row>
    <row r="122" spans="1:18" ht="15" customHeight="1">
      <c r="A122" s="132" t="s">
        <v>1957</v>
      </c>
      <c r="B122" s="251" t="s">
        <v>1956</v>
      </c>
      <c r="C122" s="126" t="s">
        <v>1863</v>
      </c>
      <c r="D122" s="274">
        <v>338.53941953696375</v>
      </c>
      <c r="E122" s="316">
        <v>57.27</v>
      </c>
      <c r="F122" s="319"/>
      <c r="G122" s="318"/>
      <c r="H122" s="322"/>
      <c r="I122" s="324" t="s">
        <v>1371</v>
      </c>
      <c r="O122" s="323" t="e">
        <f>D122/#REF!</f>
        <v>#REF!</v>
      </c>
    </row>
    <row r="123" spans="1:18" ht="15" customHeight="1">
      <c r="A123" s="132" t="s">
        <v>1958</v>
      </c>
      <c r="B123" s="251" t="s">
        <v>1959</v>
      </c>
      <c r="C123" s="126" t="s">
        <v>174</v>
      </c>
      <c r="D123" s="274">
        <v>1264310.8499999999</v>
      </c>
      <c r="E123" s="316">
        <v>374650</v>
      </c>
      <c r="F123" s="321"/>
      <c r="G123" s="320"/>
      <c r="H123" s="322"/>
      <c r="L123" s="248">
        <v>1</v>
      </c>
      <c r="O123" s="323" t="e">
        <f>D123/#REF!</f>
        <v>#REF!</v>
      </c>
    </row>
    <row r="124" spans="1:18" ht="15" customHeight="1">
      <c r="A124" s="132" t="s">
        <v>1754</v>
      </c>
      <c r="B124" s="251" t="s">
        <v>1959</v>
      </c>
      <c r="C124" s="126" t="s">
        <v>1863</v>
      </c>
      <c r="D124" s="274">
        <v>456.35034604314671</v>
      </c>
      <c r="E124" s="316">
        <v>86.679000000000002</v>
      </c>
      <c r="F124" s="319"/>
      <c r="G124" s="318"/>
      <c r="H124" s="293"/>
      <c r="O124" s="323" t="e">
        <f>D124/#REF!</f>
        <v>#REF!</v>
      </c>
    </row>
    <row r="125" spans="1:18" ht="15" customHeight="1">
      <c r="A125" s="132" t="s">
        <v>1960</v>
      </c>
      <c r="B125" s="251" t="s">
        <v>225</v>
      </c>
      <c r="C125" s="126" t="s">
        <v>174</v>
      </c>
      <c r="D125" s="274">
        <v>1879419.5268135939</v>
      </c>
      <c r="E125" s="316">
        <v>295000</v>
      </c>
      <c r="F125" s="321"/>
      <c r="G125" s="320"/>
      <c r="H125" s="322"/>
      <c r="L125" s="248">
        <v>1</v>
      </c>
      <c r="O125" s="323" t="e">
        <f>D125/#REF!</f>
        <v>#REF!</v>
      </c>
    </row>
    <row r="126" spans="1:18" ht="15" customHeight="1">
      <c r="A126" s="132" t="s">
        <v>1962</v>
      </c>
      <c r="B126" s="251" t="s">
        <v>1961</v>
      </c>
      <c r="C126" s="126" t="s">
        <v>1863</v>
      </c>
      <c r="D126" s="274">
        <v>827.71566885125844</v>
      </c>
      <c r="E126" s="316">
        <v>105.05</v>
      </c>
      <c r="F126" s="319"/>
      <c r="G126" s="318"/>
      <c r="H126" s="322"/>
      <c r="O126" s="323" t="e">
        <f>D126/#REF!</f>
        <v>#REF!</v>
      </c>
      <c r="R126" s="408" t="s">
        <v>1980</v>
      </c>
    </row>
    <row r="127" spans="1:18" ht="15" customHeight="1">
      <c r="A127" s="132" t="s">
        <v>1963</v>
      </c>
      <c r="B127" s="251" t="s">
        <v>226</v>
      </c>
      <c r="C127" s="126" t="s">
        <v>174</v>
      </c>
      <c r="D127" s="274">
        <v>767837.29595342115</v>
      </c>
      <c r="E127" s="316">
        <v>177000</v>
      </c>
      <c r="F127" s="321"/>
      <c r="G127" s="320"/>
      <c r="H127" s="322"/>
      <c r="L127" s="248">
        <v>1</v>
      </c>
      <c r="O127" s="323" t="e">
        <f>D127/#REF!</f>
        <v>#REF!</v>
      </c>
    </row>
    <row r="128" spans="1:18" ht="15" customHeight="1">
      <c r="A128" s="132" t="s">
        <v>1</v>
      </c>
      <c r="B128" s="251" t="s">
        <v>0</v>
      </c>
      <c r="C128" s="126" t="s">
        <v>1863</v>
      </c>
      <c r="D128" s="274">
        <v>298.22112758496399</v>
      </c>
      <c r="E128" s="316">
        <v>43.075000000000003</v>
      </c>
      <c r="F128" s="319"/>
      <c r="G128" s="318"/>
      <c r="H128" s="322"/>
      <c r="O128" s="323" t="e">
        <f>D128/#REF!</f>
        <v>#REF!</v>
      </c>
    </row>
    <row r="129" spans="1:17" ht="15" customHeight="1">
      <c r="A129" s="132" t="s">
        <v>4</v>
      </c>
      <c r="B129" s="251" t="s">
        <v>224</v>
      </c>
      <c r="C129" s="126" t="s">
        <v>174</v>
      </c>
      <c r="D129" s="274">
        <v>2456295.6657246049</v>
      </c>
      <c r="E129" s="316">
        <v>610060</v>
      </c>
      <c r="F129" s="321"/>
      <c r="G129" s="320"/>
      <c r="H129" s="322"/>
      <c r="L129" s="248">
        <v>1</v>
      </c>
      <c r="O129" s="323" t="e">
        <f>D129/#REF!</f>
        <v>#REF!</v>
      </c>
    </row>
    <row r="130" spans="1:17" ht="15" customHeight="1">
      <c r="A130" s="132" t="s">
        <v>269</v>
      </c>
      <c r="B130" s="251" t="s">
        <v>224</v>
      </c>
      <c r="C130" s="126" t="s">
        <v>1863</v>
      </c>
      <c r="D130" s="274">
        <v>747.87016682320825</v>
      </c>
      <c r="E130" s="316">
        <v>135.452</v>
      </c>
      <c r="F130" s="319"/>
      <c r="G130" s="315"/>
      <c r="H130" s="322"/>
      <c r="O130" s="323" t="e">
        <f>D130/#REF!</f>
        <v>#REF!</v>
      </c>
    </row>
    <row r="131" spans="1:17" ht="15" customHeight="1">
      <c r="A131" s="132" t="s">
        <v>1424</v>
      </c>
      <c r="B131" s="251" t="s">
        <v>227</v>
      </c>
      <c r="C131" s="126" t="s">
        <v>174</v>
      </c>
      <c r="D131" s="274">
        <v>27980.880000000001</v>
      </c>
      <c r="E131" s="325">
        <f>2000*D195</f>
        <v>16990</v>
      </c>
      <c r="F131" s="321"/>
      <c r="G131" s="315"/>
      <c r="H131" s="322"/>
      <c r="L131" s="248">
        <v>1</v>
      </c>
      <c r="O131" s="323" t="e">
        <f>D131/#REF!</f>
        <v>#REF!</v>
      </c>
    </row>
    <row r="132" spans="1:17" ht="15" customHeight="1">
      <c r="A132" s="132"/>
      <c r="B132" s="251"/>
      <c r="C132" s="126"/>
      <c r="D132" s="274"/>
      <c r="E132" s="326">
        <v>0</v>
      </c>
      <c r="F132" s="319"/>
      <c r="G132" s="292"/>
      <c r="H132" s="322"/>
      <c r="O132" s="323" t="e">
        <f>D132/#REF!</f>
        <v>#REF!</v>
      </c>
      <c r="Q132" s="408" t="s">
        <v>1966</v>
      </c>
    </row>
    <row r="133" spans="1:17" ht="15" customHeight="1">
      <c r="A133" s="132" t="s">
        <v>1425</v>
      </c>
      <c r="B133" s="251" t="s">
        <v>228</v>
      </c>
      <c r="C133" s="126" t="s">
        <v>174</v>
      </c>
      <c r="D133" s="274">
        <v>6459.7685950413224</v>
      </c>
      <c r="E133" s="325">
        <f>1650*D195</f>
        <v>14016.749999999998</v>
      </c>
      <c r="F133" s="321"/>
      <c r="G133" s="318"/>
      <c r="H133" s="322"/>
      <c r="L133" s="248">
        <v>1</v>
      </c>
      <c r="O133" s="323" t="e">
        <f>D133/#REF!</f>
        <v>#REF!</v>
      </c>
    </row>
    <row r="134" spans="1:17" ht="15" customHeight="1">
      <c r="A134" s="132"/>
      <c r="B134" s="251"/>
      <c r="C134" s="126"/>
      <c r="D134" s="274"/>
      <c r="E134" s="326">
        <v>0</v>
      </c>
      <c r="F134" s="319"/>
      <c r="G134" s="318"/>
      <c r="H134" s="299"/>
      <c r="O134" s="323" t="e">
        <f>D134/#REF!</f>
        <v>#REF!</v>
      </c>
      <c r="Q134" s="408" t="s">
        <v>1966</v>
      </c>
    </row>
    <row r="135" spans="1:17" ht="15" customHeight="1">
      <c r="A135" s="132" t="s">
        <v>162</v>
      </c>
      <c r="B135" s="251" t="s">
        <v>229</v>
      </c>
      <c r="C135" s="126" t="s">
        <v>174</v>
      </c>
      <c r="D135" s="274">
        <v>2005722.3193300499</v>
      </c>
      <c r="E135" s="325">
        <f>135000*D195</f>
        <v>1146825</v>
      </c>
      <c r="F135" s="321"/>
      <c r="G135" s="320"/>
      <c r="H135" s="299"/>
      <c r="L135" s="248">
        <v>1</v>
      </c>
      <c r="O135" s="323" t="e">
        <f>D135/#REF!</f>
        <v>#REF!</v>
      </c>
    </row>
    <row r="136" spans="1:17" ht="15" customHeight="1">
      <c r="A136" s="132" t="s">
        <v>414</v>
      </c>
      <c r="B136" s="251" t="s">
        <v>229</v>
      </c>
      <c r="C136" s="126" t="s">
        <v>1863</v>
      </c>
      <c r="D136" s="274">
        <v>233758.178106192</v>
      </c>
      <c r="E136" s="326">
        <v>0</v>
      </c>
      <c r="F136" s="319"/>
      <c r="G136" s="318"/>
      <c r="H136" s="299"/>
      <c r="O136" s="323" t="e">
        <f>D136/#REF!</f>
        <v>#REF!</v>
      </c>
    </row>
    <row r="137" spans="1:17" ht="15" customHeight="1">
      <c r="A137" s="132" t="s">
        <v>163</v>
      </c>
      <c r="B137" s="251" t="s">
        <v>230</v>
      </c>
      <c r="C137" s="126" t="s">
        <v>174</v>
      </c>
      <c r="D137" s="274">
        <v>28329.36257234</v>
      </c>
      <c r="E137" s="325">
        <f>2500*D195</f>
        <v>21237.499999999996</v>
      </c>
      <c r="F137" s="321"/>
      <c r="G137" s="320"/>
      <c r="H137" s="299"/>
      <c r="L137" s="248">
        <v>1</v>
      </c>
      <c r="O137" s="323" t="e">
        <f>D137/#REF!</f>
        <v>#REF!</v>
      </c>
    </row>
    <row r="138" spans="1:17" ht="15" customHeight="1">
      <c r="A138" s="132" t="s">
        <v>415</v>
      </c>
      <c r="B138" s="251" t="s">
        <v>230</v>
      </c>
      <c r="C138" s="126" t="s">
        <v>1863</v>
      </c>
      <c r="D138" s="274">
        <v>20703.689999999999</v>
      </c>
      <c r="E138" s="326">
        <v>0</v>
      </c>
      <c r="F138" s="319"/>
      <c r="G138" s="318"/>
      <c r="H138" s="299"/>
      <c r="O138" s="323" t="e">
        <f>D138/#REF!</f>
        <v>#REF!</v>
      </c>
    </row>
    <row r="139" spans="1:17" ht="15" customHeight="1">
      <c r="A139" s="132" t="s">
        <v>1427</v>
      </c>
      <c r="B139" s="251" t="s">
        <v>231</v>
      </c>
      <c r="C139" s="126" t="s">
        <v>174</v>
      </c>
      <c r="D139" s="274">
        <v>90522.98000000001</v>
      </c>
      <c r="E139" s="325">
        <f>4000*D195</f>
        <v>33980</v>
      </c>
      <c r="F139" s="321"/>
      <c r="G139" s="320"/>
      <c r="H139" s="322"/>
      <c r="L139" s="248">
        <v>1</v>
      </c>
      <c r="O139" s="323" t="e">
        <f>D139/#REF!</f>
        <v>#REF!</v>
      </c>
    </row>
    <row r="140" spans="1:17" ht="15" customHeight="1">
      <c r="A140" s="132"/>
      <c r="B140" s="251"/>
      <c r="C140" s="126"/>
      <c r="D140" s="274"/>
      <c r="E140" s="326">
        <v>0</v>
      </c>
      <c r="F140" s="319"/>
      <c r="G140" s="318"/>
      <c r="H140" s="322"/>
      <c r="O140" s="323" t="e">
        <f>D140/#REF!</f>
        <v>#REF!</v>
      </c>
      <c r="Q140" s="408" t="s">
        <v>1966</v>
      </c>
    </row>
    <row r="141" spans="1:17" ht="15" customHeight="1">
      <c r="A141" s="132" t="s">
        <v>164</v>
      </c>
      <c r="B141" s="251" t="s">
        <v>118</v>
      </c>
      <c r="C141" s="126" t="s">
        <v>174</v>
      </c>
      <c r="D141" s="274">
        <v>265967.07162391092</v>
      </c>
      <c r="E141" s="325">
        <f>23000*D195</f>
        <v>195384.99999999997</v>
      </c>
      <c r="F141" s="321"/>
      <c r="G141" s="320"/>
      <c r="H141" s="322"/>
      <c r="L141" s="248">
        <v>1</v>
      </c>
      <c r="O141" s="323" t="e">
        <f>D141/#REF!</f>
        <v>#REF!</v>
      </c>
    </row>
    <row r="142" spans="1:17" ht="15" customHeight="1">
      <c r="A142" s="132"/>
      <c r="B142" s="251"/>
      <c r="C142" s="126"/>
      <c r="D142" s="274"/>
      <c r="E142" s="326">
        <v>0</v>
      </c>
      <c r="F142" s="327"/>
      <c r="G142" s="318"/>
      <c r="H142" s="322"/>
      <c r="O142" s="323" t="e">
        <f>D142/#REF!</f>
        <v>#REF!</v>
      </c>
      <c r="Q142" s="408" t="s">
        <v>1966</v>
      </c>
    </row>
    <row r="143" spans="1:17" ht="15" customHeight="1">
      <c r="A143" s="132" t="s">
        <v>161</v>
      </c>
      <c r="B143" s="251" t="s">
        <v>119</v>
      </c>
      <c r="C143" s="126" t="s">
        <v>174</v>
      </c>
      <c r="D143" s="274">
        <v>172773.35760315147</v>
      </c>
      <c r="E143" s="325">
        <f>15000*D195</f>
        <v>127424.99999999999</v>
      </c>
      <c r="F143" s="321"/>
      <c r="G143" s="320"/>
      <c r="H143" s="322"/>
      <c r="L143" s="248">
        <v>1</v>
      </c>
      <c r="O143" s="323" t="e">
        <f>D143/#REF!</f>
        <v>#REF!</v>
      </c>
    </row>
    <row r="144" spans="1:17" ht="15" customHeight="1">
      <c r="A144" s="132"/>
      <c r="B144" s="251"/>
      <c r="C144" s="126"/>
      <c r="D144" s="274"/>
      <c r="E144" s="326">
        <v>0</v>
      </c>
      <c r="F144" s="327"/>
      <c r="G144" s="320"/>
      <c r="H144" s="299"/>
      <c r="O144" s="323" t="e">
        <f>D144/#REF!</f>
        <v>#REF!</v>
      </c>
      <c r="Q144" s="408" t="s">
        <v>1966</v>
      </c>
    </row>
    <row r="145" spans="1:17" ht="15" customHeight="1">
      <c r="A145" s="132" t="s">
        <v>165</v>
      </c>
      <c r="B145" s="251" t="s">
        <v>232</v>
      </c>
      <c r="C145" s="126" t="s">
        <v>174</v>
      </c>
      <c r="D145" s="274">
        <v>195809.61431557944</v>
      </c>
      <c r="E145" s="325">
        <f>17000*D195</f>
        <v>144415</v>
      </c>
      <c r="F145" s="321"/>
      <c r="G145" s="320"/>
      <c r="H145" s="299"/>
      <c r="L145" s="248">
        <v>1</v>
      </c>
      <c r="O145" s="323" t="e">
        <f>D145/#REF!</f>
        <v>#REF!</v>
      </c>
    </row>
    <row r="146" spans="1:17" ht="15" customHeight="1">
      <c r="A146" s="132"/>
      <c r="B146" s="251"/>
      <c r="C146" s="126"/>
      <c r="D146" s="274"/>
      <c r="E146" s="326">
        <v>0</v>
      </c>
      <c r="F146" s="327"/>
      <c r="G146" s="318"/>
      <c r="H146" s="299"/>
      <c r="O146" s="323" t="e">
        <f>D146/#REF!</f>
        <v>#REF!</v>
      </c>
      <c r="Q146" s="408" t="s">
        <v>1966</v>
      </c>
    </row>
    <row r="147" spans="1:17" ht="15" customHeight="1">
      <c r="A147" s="132" t="s">
        <v>166</v>
      </c>
      <c r="B147" s="251" t="s">
        <v>120</v>
      </c>
      <c r="C147" s="126" t="s">
        <v>174</v>
      </c>
      <c r="D147" s="274">
        <v>82595.301179199989</v>
      </c>
      <c r="E147" s="325">
        <f>5000*D195</f>
        <v>42474.999999999993</v>
      </c>
      <c r="F147" s="321"/>
      <c r="G147" s="320"/>
      <c r="H147" s="299"/>
      <c r="L147" s="248">
        <v>1</v>
      </c>
      <c r="O147" s="323" t="e">
        <f>D147/#REF!</f>
        <v>#REF!</v>
      </c>
    </row>
    <row r="148" spans="1:17" ht="15" customHeight="1">
      <c r="A148" s="132" t="s">
        <v>416</v>
      </c>
      <c r="B148" s="251" t="s">
        <v>120</v>
      </c>
      <c r="C148" s="126" t="s">
        <v>1863</v>
      </c>
      <c r="D148" s="274">
        <v>106800.87276825999</v>
      </c>
      <c r="E148" s="326">
        <v>0</v>
      </c>
      <c r="F148" s="319"/>
      <c r="G148" s="318"/>
      <c r="H148" s="299"/>
      <c r="I148" s="125">
        <v>5900</v>
      </c>
      <c r="O148" s="323" t="e">
        <f>D148/#REF!</f>
        <v>#REF!</v>
      </c>
    </row>
    <row r="149" spans="1:17" ht="15" customHeight="1">
      <c r="A149" s="132" t="s">
        <v>1428</v>
      </c>
      <c r="B149" s="251" t="s">
        <v>117</v>
      </c>
      <c r="C149" s="126" t="s">
        <v>174</v>
      </c>
      <c r="D149" s="274">
        <v>1021351.2226631999</v>
      </c>
      <c r="E149" s="325">
        <f>23500*D195</f>
        <v>199632.49999999997</v>
      </c>
      <c r="F149" s="321"/>
      <c r="G149" s="320"/>
      <c r="L149" s="248">
        <v>1</v>
      </c>
      <c r="O149" s="323" t="e">
        <f>D149/#REF!</f>
        <v>#REF!</v>
      </c>
    </row>
    <row r="150" spans="1:17" ht="15" customHeight="1">
      <c r="A150" s="132"/>
      <c r="B150" s="251"/>
      <c r="C150" s="126"/>
      <c r="D150" s="274"/>
      <c r="E150" s="326">
        <v>0</v>
      </c>
      <c r="F150" s="319"/>
      <c r="G150" s="318"/>
      <c r="H150" s="299"/>
      <c r="O150" s="323" t="e">
        <f>D150/#REF!</f>
        <v>#REF!</v>
      </c>
      <c r="Q150" s="408" t="s">
        <v>1966</v>
      </c>
    </row>
    <row r="151" spans="1:17" ht="15" customHeight="1">
      <c r="A151" s="132" t="s">
        <v>1429</v>
      </c>
      <c r="B151" s="251" t="s">
        <v>233</v>
      </c>
      <c r="C151" s="126" t="s">
        <v>174</v>
      </c>
      <c r="D151" s="274">
        <v>21257.294565671997</v>
      </c>
      <c r="E151" s="325">
        <f>2000*D195</f>
        <v>16990</v>
      </c>
      <c r="F151" s="321"/>
      <c r="G151" s="320"/>
      <c r="H151" s="328"/>
      <c r="L151" s="248">
        <v>1</v>
      </c>
      <c r="O151" s="323" t="e">
        <f>D151/#REF!</f>
        <v>#REF!</v>
      </c>
    </row>
    <row r="152" spans="1:17" ht="15" customHeight="1">
      <c r="A152" s="132"/>
      <c r="B152" s="251"/>
      <c r="C152" s="126"/>
      <c r="D152" s="274"/>
      <c r="E152" s="326">
        <v>0</v>
      </c>
      <c r="F152" s="319"/>
      <c r="G152" s="318"/>
      <c r="H152" s="299"/>
      <c r="I152" s="248">
        <f>750+85+21</f>
        <v>856</v>
      </c>
      <c r="O152" s="323" t="e">
        <f>D152/#REF!</f>
        <v>#REF!</v>
      </c>
      <c r="Q152" s="408" t="s">
        <v>1966</v>
      </c>
    </row>
    <row r="153" spans="1:17" ht="15" customHeight="1">
      <c r="A153" s="132" t="s">
        <v>417</v>
      </c>
      <c r="B153" s="251" t="s">
        <v>418</v>
      </c>
      <c r="C153" s="126" t="s">
        <v>174</v>
      </c>
      <c r="D153" s="274">
        <v>25909.552201499995</v>
      </c>
      <c r="E153" s="329"/>
      <c r="F153" s="321"/>
      <c r="G153" s="330">
        <v>2891</v>
      </c>
      <c r="H153" s="331" t="s">
        <v>1177</v>
      </c>
      <c r="L153" s="248">
        <v>1</v>
      </c>
      <c r="O153" s="323" t="e">
        <f>D153/#REF!</f>
        <v>#REF!</v>
      </c>
    </row>
    <row r="154" spans="1:17" ht="15" customHeight="1">
      <c r="A154" s="132"/>
      <c r="B154" s="251"/>
      <c r="C154" s="126"/>
      <c r="D154" s="274"/>
      <c r="E154" s="326"/>
      <c r="F154" s="319"/>
      <c r="G154" s="318"/>
      <c r="H154" s="299"/>
      <c r="O154" s="323" t="e">
        <f>D154/#REF!</f>
        <v>#REF!</v>
      </c>
      <c r="Q154" s="408" t="s">
        <v>1966</v>
      </c>
    </row>
    <row r="155" spans="1:17" ht="15" customHeight="1">
      <c r="A155" s="132"/>
      <c r="B155" s="251"/>
      <c r="C155" s="126"/>
      <c r="D155" s="274"/>
      <c r="E155" s="329"/>
      <c r="F155" s="321"/>
      <c r="G155" s="330">
        <f>2489*D195</f>
        <v>21144.054999999997</v>
      </c>
      <c r="H155" s="331" t="s">
        <v>1106</v>
      </c>
      <c r="L155" s="248">
        <v>1</v>
      </c>
      <c r="O155" s="323" t="e">
        <f>D155/#REF!</f>
        <v>#REF!</v>
      </c>
      <c r="Q155" s="408" t="s">
        <v>1966</v>
      </c>
    </row>
    <row r="156" spans="1:17" ht="15" customHeight="1">
      <c r="A156" s="132"/>
      <c r="B156" s="251"/>
      <c r="C156" s="126"/>
      <c r="D156" s="274"/>
      <c r="E156" s="326"/>
      <c r="F156" s="319"/>
      <c r="G156" s="318"/>
      <c r="H156" s="299"/>
      <c r="O156" s="323" t="e">
        <f>D156/#REF!</f>
        <v>#REF!</v>
      </c>
      <c r="Q156" s="408" t="s">
        <v>1966</v>
      </c>
    </row>
    <row r="157" spans="1:17" ht="15" customHeight="1">
      <c r="A157" s="132" t="s">
        <v>1430</v>
      </c>
      <c r="B157" s="251" t="s">
        <v>1032</v>
      </c>
      <c r="C157" s="126" t="s">
        <v>174</v>
      </c>
      <c r="D157" s="274">
        <v>206513.44999999998</v>
      </c>
      <c r="E157" s="329"/>
      <c r="F157" s="321"/>
      <c r="G157" s="330">
        <v>44250</v>
      </c>
      <c r="H157" s="331" t="s">
        <v>1192</v>
      </c>
      <c r="L157" s="248">
        <v>1</v>
      </c>
      <c r="O157" s="323" t="e">
        <f>D157/#REF!</f>
        <v>#REF!</v>
      </c>
    </row>
    <row r="158" spans="1:17" ht="15" customHeight="1">
      <c r="A158" s="132"/>
      <c r="B158" s="251"/>
      <c r="C158" s="126"/>
      <c r="D158" s="274"/>
      <c r="E158" s="326"/>
      <c r="F158" s="319"/>
      <c r="G158" s="318"/>
      <c r="H158" s="299"/>
      <c r="O158" s="323" t="e">
        <f>D158/#REF!</f>
        <v>#REF!</v>
      </c>
      <c r="Q158" s="408" t="s">
        <v>1966</v>
      </c>
    </row>
    <row r="159" spans="1:17" ht="15" customHeight="1">
      <c r="A159" s="132"/>
      <c r="B159" s="251"/>
      <c r="C159" s="126"/>
      <c r="D159" s="274"/>
      <c r="E159" s="329"/>
      <c r="F159" s="321"/>
      <c r="G159" s="330">
        <v>63130</v>
      </c>
      <c r="H159" s="331" t="s">
        <v>1192</v>
      </c>
      <c r="L159" s="248">
        <v>1</v>
      </c>
      <c r="O159" s="323" t="e">
        <f>D159/#REF!</f>
        <v>#REF!</v>
      </c>
      <c r="Q159" s="408" t="s">
        <v>1966</v>
      </c>
    </row>
    <row r="160" spans="1:17" ht="15" customHeight="1">
      <c r="A160" s="132"/>
      <c r="B160" s="251"/>
      <c r="C160" s="126"/>
      <c r="D160" s="274"/>
      <c r="E160" s="326"/>
      <c r="F160" s="319"/>
      <c r="G160" s="318"/>
      <c r="H160" s="299"/>
      <c r="O160" s="323" t="e">
        <f>D160/#REF!</f>
        <v>#REF!</v>
      </c>
      <c r="Q160" s="408" t="s">
        <v>1966</v>
      </c>
    </row>
    <row r="161" spans="1:17" ht="15" customHeight="1">
      <c r="A161" s="132" t="s">
        <v>1432</v>
      </c>
      <c r="B161" s="251" t="s">
        <v>1033</v>
      </c>
      <c r="C161" s="126" t="s">
        <v>174</v>
      </c>
      <c r="D161" s="274">
        <v>153984.6</v>
      </c>
      <c r="E161" s="329"/>
      <c r="F161" s="321"/>
      <c r="G161" s="332">
        <v>28900</v>
      </c>
      <c r="H161" s="331" t="s">
        <v>1178</v>
      </c>
      <c r="L161" s="248">
        <v>1</v>
      </c>
      <c r="O161" s="323" t="e">
        <f>D161/#REF!</f>
        <v>#REF!</v>
      </c>
    </row>
    <row r="162" spans="1:17" ht="15" customHeight="1">
      <c r="A162" s="132"/>
      <c r="B162" s="251"/>
      <c r="C162" s="126"/>
      <c r="D162" s="274">
        <v>807.43801652892569</v>
      </c>
      <c r="E162" s="326"/>
      <c r="F162" s="319"/>
      <c r="G162" s="333"/>
      <c r="H162" s="299"/>
      <c r="O162" s="323" t="e">
        <f>D162/#REF!</f>
        <v>#REF!</v>
      </c>
    </row>
    <row r="163" spans="1:17" ht="15" customHeight="1">
      <c r="A163" s="132" t="s">
        <v>1433</v>
      </c>
      <c r="B163" s="251" t="s">
        <v>1034</v>
      </c>
      <c r="C163" s="126" t="s">
        <v>174</v>
      </c>
      <c r="D163" s="274">
        <v>426956.34009600006</v>
      </c>
      <c r="E163" s="329"/>
      <c r="F163" s="321"/>
      <c r="G163" s="332">
        <v>68500</v>
      </c>
      <c r="H163" s="331" t="s">
        <v>1178</v>
      </c>
      <c r="I163" s="248" t="s">
        <v>1107</v>
      </c>
      <c r="L163" s="248">
        <v>1</v>
      </c>
      <c r="O163" s="323" t="e">
        <f>D163/#REF!</f>
        <v>#REF!</v>
      </c>
    </row>
    <row r="164" spans="1:17" ht="15" customHeight="1">
      <c r="A164" s="132"/>
      <c r="B164" s="251"/>
      <c r="C164" s="126"/>
      <c r="D164" s="274"/>
      <c r="E164" s="326"/>
      <c r="F164" s="319"/>
      <c r="G164" s="334"/>
      <c r="H164" s="331" t="s">
        <v>1178</v>
      </c>
      <c r="O164" s="323" t="e">
        <f>D164/#REF!</f>
        <v>#REF!</v>
      </c>
      <c r="Q164" s="408" t="s">
        <v>1966</v>
      </c>
    </row>
    <row r="165" spans="1:17" ht="15" customHeight="1">
      <c r="A165" s="132" t="s">
        <v>1434</v>
      </c>
      <c r="B165" s="251" t="s">
        <v>1035</v>
      </c>
      <c r="C165" s="126" t="s">
        <v>174</v>
      </c>
      <c r="D165" s="274">
        <v>298567.34432000003</v>
      </c>
      <c r="E165" s="329"/>
      <c r="F165" s="321"/>
      <c r="G165" s="332">
        <v>39500</v>
      </c>
      <c r="H165" s="331" t="s">
        <v>1178</v>
      </c>
      <c r="L165" s="248">
        <v>1</v>
      </c>
      <c r="O165" s="323" t="e">
        <f>D165/#REF!</f>
        <v>#REF!</v>
      </c>
    </row>
    <row r="166" spans="1:17" ht="15" customHeight="1">
      <c r="A166" s="132"/>
      <c r="B166" s="251"/>
      <c r="C166" s="126"/>
      <c r="D166" s="274"/>
      <c r="E166" s="326"/>
      <c r="F166" s="319"/>
      <c r="G166" s="318"/>
      <c r="H166" s="299"/>
      <c r="O166" s="323" t="e">
        <f>D166/#REF!</f>
        <v>#REF!</v>
      </c>
      <c r="Q166" s="408" t="s">
        <v>1966</v>
      </c>
    </row>
    <row r="167" spans="1:17" ht="15" customHeight="1">
      <c r="A167" s="132" t="s">
        <v>1036</v>
      </c>
      <c r="B167" s="251" t="s">
        <v>1220</v>
      </c>
      <c r="C167" s="126" t="s">
        <v>174</v>
      </c>
      <c r="D167" s="274">
        <v>1108025.3996098558</v>
      </c>
      <c r="E167" s="335"/>
      <c r="F167" s="336"/>
      <c r="G167" s="330">
        <v>237770</v>
      </c>
      <c r="H167" s="331" t="s">
        <v>1192</v>
      </c>
      <c r="I167" s="337">
        <f>536000*D195</f>
        <v>4553320</v>
      </c>
      <c r="J167" s="248" t="s">
        <v>1221</v>
      </c>
      <c r="O167" s="323" t="e">
        <f>D167/#REF!</f>
        <v>#REF!</v>
      </c>
    </row>
    <row r="168" spans="1:17" ht="15" customHeight="1">
      <c r="A168" s="132"/>
      <c r="B168" s="251"/>
      <c r="C168" s="126"/>
      <c r="D168" s="274"/>
      <c r="E168" s="326"/>
      <c r="F168" s="319"/>
      <c r="G168" s="318"/>
      <c r="H168" s="299"/>
      <c r="O168" s="323" t="e">
        <f>D168/#REF!</f>
        <v>#REF!</v>
      </c>
      <c r="Q168" s="408" t="s">
        <v>1966</v>
      </c>
    </row>
    <row r="169" spans="1:17" ht="15" customHeight="1">
      <c r="A169" s="132" t="s">
        <v>1037</v>
      </c>
      <c r="B169" s="251" t="s">
        <v>1417</v>
      </c>
      <c r="C169" s="126" t="s">
        <v>174</v>
      </c>
      <c r="D169" s="274">
        <v>269311</v>
      </c>
      <c r="E169" s="329"/>
      <c r="F169" s="321"/>
      <c r="G169" s="330">
        <f>11500*D195</f>
        <v>97692.499999999985</v>
      </c>
      <c r="H169" s="331" t="s">
        <v>1108</v>
      </c>
      <c r="L169" s="248">
        <v>1</v>
      </c>
      <c r="O169" s="323" t="e">
        <f>D169/#REF!</f>
        <v>#REF!</v>
      </c>
    </row>
    <row r="170" spans="1:17" ht="15" customHeight="1">
      <c r="A170" s="132"/>
      <c r="B170" s="251"/>
      <c r="C170" s="126"/>
      <c r="D170" s="274"/>
      <c r="E170" s="326"/>
      <c r="F170" s="319"/>
      <c r="G170" s="318"/>
      <c r="H170" s="299"/>
      <c r="O170" s="323" t="e">
        <f>D170/#REF!</f>
        <v>#REF!</v>
      </c>
      <c r="Q170" s="408" t="s">
        <v>1966</v>
      </c>
    </row>
    <row r="171" spans="1:17" ht="15" customHeight="1">
      <c r="A171" s="132" t="s">
        <v>201</v>
      </c>
      <c r="B171" s="251" t="s">
        <v>202</v>
      </c>
      <c r="C171" s="126" t="s">
        <v>344</v>
      </c>
      <c r="D171" s="274">
        <v>10.826446280991735</v>
      </c>
      <c r="E171" s="338">
        <v>1.6859999999999999</v>
      </c>
      <c r="F171" s="321"/>
      <c r="G171" s="320"/>
      <c r="H171" s="248" t="s">
        <v>1104</v>
      </c>
      <c r="L171" s="248">
        <v>1</v>
      </c>
      <c r="O171" s="323" t="e">
        <f>D171/#REF!</f>
        <v>#REF!</v>
      </c>
    </row>
    <row r="172" spans="1:17" ht="15" customHeight="1">
      <c r="A172" s="132" t="s">
        <v>1038</v>
      </c>
      <c r="B172" s="251" t="s">
        <v>1372</v>
      </c>
      <c r="C172" s="126" t="s">
        <v>174</v>
      </c>
      <c r="D172" s="274">
        <v>236187.93</v>
      </c>
      <c r="E172" s="339"/>
      <c r="F172" s="321"/>
      <c r="G172" s="332">
        <v>24761.31</v>
      </c>
      <c r="H172" s="331" t="s">
        <v>1109</v>
      </c>
      <c r="L172" s="248">
        <v>1</v>
      </c>
      <c r="O172" s="323" t="e">
        <f>D172/#REF!</f>
        <v>#REF!</v>
      </c>
    </row>
    <row r="173" spans="1:17" ht="15" customHeight="1">
      <c r="A173" s="132"/>
      <c r="B173" s="251"/>
      <c r="C173" s="126"/>
      <c r="D173" s="274"/>
      <c r="E173" s="326"/>
      <c r="F173" s="319"/>
      <c r="G173" s="318"/>
      <c r="H173" s="299"/>
      <c r="O173" s="323" t="e">
        <f>D173/#REF!</f>
        <v>#REF!</v>
      </c>
      <c r="Q173" s="408" t="s">
        <v>1966</v>
      </c>
    </row>
    <row r="174" spans="1:17" ht="15" customHeight="1">
      <c r="A174" s="132"/>
      <c r="B174" s="251"/>
      <c r="C174" s="126"/>
      <c r="D174" s="274"/>
      <c r="E174" s="339"/>
      <c r="F174" s="321"/>
      <c r="G174" s="330">
        <f>4587*D195</f>
        <v>38966.564999999995</v>
      </c>
      <c r="H174" s="331" t="s">
        <v>1106</v>
      </c>
      <c r="L174" s="248">
        <v>1</v>
      </c>
      <c r="O174" s="323" t="e">
        <f>D174/#REF!</f>
        <v>#REF!</v>
      </c>
      <c r="Q174" s="408" t="s">
        <v>1966</v>
      </c>
    </row>
    <row r="175" spans="1:17" ht="15" customHeight="1">
      <c r="A175" s="132"/>
      <c r="B175" s="251"/>
      <c r="C175" s="126"/>
      <c r="D175" s="274"/>
      <c r="E175" s="326"/>
      <c r="F175" s="319"/>
      <c r="G175" s="318"/>
      <c r="H175" s="299"/>
      <c r="O175" s="323" t="e">
        <f>D175/#REF!</f>
        <v>#REF!</v>
      </c>
      <c r="Q175" s="408" t="s">
        <v>1966</v>
      </c>
    </row>
    <row r="176" spans="1:17" ht="15" customHeight="1">
      <c r="A176" s="132" t="s">
        <v>1039</v>
      </c>
      <c r="B176" s="251" t="s">
        <v>1169</v>
      </c>
      <c r="C176" s="126" t="s">
        <v>174</v>
      </c>
      <c r="D176" s="274">
        <v>43167.508951447206</v>
      </c>
      <c r="E176" s="339"/>
      <c r="F176" s="321"/>
      <c r="G176" s="330">
        <f>3938*D195</f>
        <v>33453.31</v>
      </c>
      <c r="H176" s="331" t="s">
        <v>1106</v>
      </c>
      <c r="K176" s="340">
        <f>240000+84000+26900</f>
        <v>350900</v>
      </c>
      <c r="L176" s="248">
        <v>1</v>
      </c>
      <c r="O176" s="323" t="e">
        <f>D176/#REF!</f>
        <v>#REF!</v>
      </c>
    </row>
    <row r="177" spans="1:17" ht="15" customHeight="1">
      <c r="A177" s="132"/>
      <c r="B177" s="251"/>
      <c r="C177" s="126"/>
      <c r="D177" s="274"/>
      <c r="E177" s="326"/>
      <c r="F177" s="319"/>
      <c r="G177" s="318"/>
      <c r="H177" s="299"/>
      <c r="K177" s="341" t="s">
        <v>1166</v>
      </c>
      <c r="O177" s="323" t="e">
        <f>D177/#REF!</f>
        <v>#REF!</v>
      </c>
      <c r="Q177" s="408" t="s">
        <v>1966</v>
      </c>
    </row>
    <row r="178" spans="1:17" ht="15" customHeight="1">
      <c r="A178" s="132" t="s">
        <v>1040</v>
      </c>
      <c r="B178" s="251" t="s">
        <v>1165</v>
      </c>
      <c r="C178" s="126" t="s">
        <v>174</v>
      </c>
      <c r="D178" s="274">
        <v>4513600.9349593138</v>
      </c>
      <c r="E178" s="339"/>
      <c r="F178" s="321"/>
      <c r="G178" s="342">
        <v>1076027.8</v>
      </c>
      <c r="H178" s="343" t="s">
        <v>1175</v>
      </c>
      <c r="I178" s="343"/>
      <c r="J178" s="341">
        <f>35186*D195</f>
        <v>298905.06999999995</v>
      </c>
      <c r="K178" s="344" t="s">
        <v>1193</v>
      </c>
      <c r="O178" s="323" t="e">
        <f>D178/#REF!</f>
        <v>#REF!</v>
      </c>
    </row>
    <row r="179" spans="1:17" ht="15" customHeight="1">
      <c r="A179" s="132" t="s">
        <v>1041</v>
      </c>
      <c r="B179" s="251" t="s">
        <v>1165</v>
      </c>
      <c r="C179" s="126" t="s">
        <v>1863</v>
      </c>
      <c r="D179" s="274">
        <v>7613947.6199999992</v>
      </c>
      <c r="E179" s="326"/>
      <c r="F179" s="319"/>
      <c r="G179" s="318"/>
      <c r="O179" s="323" t="e">
        <f>D179/#REF!</f>
        <v>#REF!</v>
      </c>
    </row>
    <row r="180" spans="1:17" ht="15" customHeight="1">
      <c r="A180" s="132" t="s">
        <v>364</v>
      </c>
      <c r="B180" s="251" t="s">
        <v>365</v>
      </c>
      <c r="C180" s="126" t="s">
        <v>174</v>
      </c>
      <c r="D180" s="274">
        <v>261870.66115702476</v>
      </c>
      <c r="E180" s="329"/>
      <c r="F180" s="321"/>
      <c r="G180" s="345">
        <v>49973</v>
      </c>
      <c r="H180" s="299" t="s">
        <v>1176</v>
      </c>
      <c r="L180" s="248">
        <v>1</v>
      </c>
      <c r="O180" s="323" t="e">
        <f>D180/#REF!</f>
        <v>#REF!</v>
      </c>
    </row>
    <row r="181" spans="1:17" ht="15" customHeight="1">
      <c r="A181" s="132" t="s">
        <v>371</v>
      </c>
      <c r="B181" s="251" t="s">
        <v>365</v>
      </c>
      <c r="C181" s="126" t="s">
        <v>1863</v>
      </c>
      <c r="D181" s="274">
        <v>482.28182299439999</v>
      </c>
      <c r="E181" s="326">
        <f>grua</f>
        <v>508.32347949299083</v>
      </c>
      <c r="F181" s="319"/>
      <c r="G181" s="318"/>
      <c r="H181" s="299"/>
      <c r="O181" s="323" t="e">
        <f>D181/#REF!</f>
        <v>#REF!</v>
      </c>
    </row>
    <row r="182" spans="1:17" ht="15" customHeight="1">
      <c r="A182" s="132" t="s">
        <v>1042</v>
      </c>
      <c r="B182" s="251" t="s">
        <v>1183</v>
      </c>
      <c r="C182" s="126" t="s">
        <v>174</v>
      </c>
      <c r="D182" s="274">
        <v>2082362.2286080003</v>
      </c>
      <c r="E182" s="339"/>
      <c r="F182" s="321"/>
      <c r="G182" s="342">
        <v>481724</v>
      </c>
      <c r="H182" s="343" t="s">
        <v>1180</v>
      </c>
      <c r="I182" s="343"/>
      <c r="L182" s="248">
        <v>1</v>
      </c>
      <c r="O182" s="323" t="e">
        <f>D182/#REF!</f>
        <v>#REF!</v>
      </c>
    </row>
    <row r="183" spans="1:17" ht="15" customHeight="1">
      <c r="A183" s="132" t="s">
        <v>1043</v>
      </c>
      <c r="B183" s="251" t="s">
        <v>1168</v>
      </c>
      <c r="C183" s="126" t="s">
        <v>1863</v>
      </c>
      <c r="D183" s="274">
        <v>3543641.7977166297</v>
      </c>
      <c r="E183" s="326"/>
      <c r="F183" s="319"/>
      <c r="G183" s="318"/>
      <c r="O183" s="323" t="e">
        <f>D183/#REF!</f>
        <v>#REF!</v>
      </c>
    </row>
    <row r="184" spans="1:17" ht="15" customHeight="1">
      <c r="A184" s="132" t="s">
        <v>1044</v>
      </c>
      <c r="B184" s="251" t="s">
        <v>1222</v>
      </c>
      <c r="C184" s="126" t="s">
        <v>174</v>
      </c>
      <c r="D184" s="274">
        <v>1571528.7788052598</v>
      </c>
      <c r="E184" s="339"/>
      <c r="F184" s="321"/>
      <c r="G184" s="330">
        <v>356950</v>
      </c>
      <c r="H184" s="331" t="s">
        <v>1192</v>
      </c>
      <c r="L184" s="248">
        <v>1</v>
      </c>
      <c r="O184" s="323" t="e">
        <f>D184/#REF!</f>
        <v>#REF!</v>
      </c>
    </row>
    <row r="185" spans="1:17" ht="15" customHeight="1">
      <c r="A185" s="132" t="s">
        <v>1045</v>
      </c>
      <c r="B185" s="251" t="s">
        <v>1167</v>
      </c>
      <c r="C185" s="126" t="s">
        <v>1863</v>
      </c>
      <c r="D185" s="274">
        <v>500.48555767120001</v>
      </c>
      <c r="E185" s="326"/>
      <c r="F185" s="319"/>
      <c r="G185" s="318"/>
      <c r="H185" s="299"/>
      <c r="I185" s="346" t="e">
        <f>G178+#REF!</f>
        <v>#REF!</v>
      </c>
      <c r="O185" s="323" t="e">
        <f>D185/#REF!</f>
        <v>#REF!</v>
      </c>
    </row>
    <row r="186" spans="1:17" ht="15" customHeight="1">
      <c r="A186" s="132" t="s">
        <v>1142</v>
      </c>
      <c r="B186" s="251" t="s">
        <v>1154</v>
      </c>
      <c r="C186" s="126" t="s">
        <v>174</v>
      </c>
      <c r="D186" s="274">
        <v>645094.66631399991</v>
      </c>
      <c r="E186" s="347">
        <v>80542.990000000005</v>
      </c>
      <c r="F186" s="319"/>
      <c r="G186" s="348"/>
      <c r="H186" s="299"/>
      <c r="O186" s="323" t="e">
        <f>D186/#REF!</f>
        <v>#REF!</v>
      </c>
    </row>
    <row r="187" spans="1:17" ht="15" customHeight="1">
      <c r="A187" s="132" t="s">
        <v>1143</v>
      </c>
      <c r="B187" s="251" t="s">
        <v>1155</v>
      </c>
      <c r="C187" s="126" t="s">
        <v>174</v>
      </c>
      <c r="D187" s="274">
        <v>766335.06738642009</v>
      </c>
      <c r="E187" s="338">
        <v>118054.29</v>
      </c>
      <c r="F187" s="319"/>
      <c r="G187" s="349"/>
      <c r="H187" s="299"/>
      <c r="O187" s="323" t="e">
        <f>D187/#REF!</f>
        <v>#REF!</v>
      </c>
    </row>
    <row r="188" spans="1:17" ht="15" customHeight="1">
      <c r="A188" s="132" t="s">
        <v>1144</v>
      </c>
      <c r="B188" s="251" t="s">
        <v>1491</v>
      </c>
      <c r="C188" s="126" t="s">
        <v>174</v>
      </c>
      <c r="D188" s="274">
        <v>4870</v>
      </c>
      <c r="E188" s="338">
        <v>554.54999999999995</v>
      </c>
      <c r="F188" s="319"/>
      <c r="G188" s="349"/>
      <c r="H188" s="299"/>
      <c r="O188" s="323" t="e">
        <f>D188/#REF!</f>
        <v>#REF!</v>
      </c>
    </row>
    <row r="189" spans="1:17" ht="15" customHeight="1">
      <c r="A189" s="132" t="s">
        <v>1145</v>
      </c>
      <c r="B189" s="251" t="s">
        <v>1492</v>
      </c>
      <c r="C189" s="126" t="s">
        <v>174</v>
      </c>
      <c r="D189" s="274">
        <v>5622.0165289256202</v>
      </c>
      <c r="E189" s="338">
        <v>692.56</v>
      </c>
      <c r="F189" s="319"/>
      <c r="G189" s="349"/>
      <c r="H189" s="299"/>
      <c r="O189" s="323" t="e">
        <f>D189/#REF!</f>
        <v>#REF!</v>
      </c>
    </row>
    <row r="190" spans="1:17" ht="15" customHeight="1">
      <c r="A190" s="132" t="s">
        <v>1146</v>
      </c>
      <c r="B190" s="251" t="s">
        <v>1493</v>
      </c>
      <c r="C190" s="126" t="s">
        <v>174</v>
      </c>
      <c r="D190" s="274">
        <v>6454.9035812672182</v>
      </c>
      <c r="E190" s="338">
        <v>762.81</v>
      </c>
      <c r="F190" s="319"/>
      <c r="G190" s="349"/>
      <c r="H190" s="299"/>
      <c r="O190" s="323" t="e">
        <f>D190/#REF!</f>
        <v>#REF!</v>
      </c>
    </row>
    <row r="191" spans="1:17" ht="15" customHeight="1">
      <c r="A191" s="132" t="s">
        <v>1156</v>
      </c>
      <c r="B191" s="251" t="s">
        <v>1158</v>
      </c>
      <c r="C191" s="126" t="s">
        <v>174</v>
      </c>
      <c r="D191" s="274">
        <v>95055.792401320214</v>
      </c>
      <c r="E191" s="350">
        <v>9504.1299999999992</v>
      </c>
      <c r="F191" s="319"/>
      <c r="G191" s="348"/>
      <c r="H191" s="299"/>
      <c r="O191" s="323" t="e">
        <f>D191/#REF!</f>
        <v>#REF!</v>
      </c>
    </row>
    <row r="192" spans="1:17" ht="15" customHeight="1">
      <c r="A192" s="132" t="s">
        <v>1157</v>
      </c>
      <c r="B192" s="251" t="s">
        <v>1159</v>
      </c>
      <c r="C192" s="126" t="s">
        <v>174</v>
      </c>
      <c r="D192" s="274">
        <v>95224.628341299103</v>
      </c>
      <c r="E192" s="350">
        <v>9504.1299999999992</v>
      </c>
      <c r="F192" s="319"/>
      <c r="G192" s="349"/>
      <c r="H192" s="299"/>
      <c r="O192" s="323" t="e">
        <f>D192/#REF!</f>
        <v>#REF!</v>
      </c>
    </row>
    <row r="193" spans="1:15" ht="15" customHeight="1">
      <c r="A193" s="132" t="s">
        <v>360</v>
      </c>
      <c r="B193" s="251" t="s">
        <v>361</v>
      </c>
      <c r="C193" s="126" t="s">
        <v>174</v>
      </c>
      <c r="D193" s="274">
        <v>860</v>
      </c>
      <c r="E193" s="339"/>
      <c r="F193" s="321"/>
      <c r="G193" s="345">
        <f>77/1.21</f>
        <v>63.63636363636364</v>
      </c>
      <c r="H193" s="299" t="s">
        <v>1185</v>
      </c>
      <c r="L193" s="248">
        <v>1</v>
      </c>
      <c r="O193" s="323" t="e">
        <f>D193/#REF!</f>
        <v>#REF!</v>
      </c>
    </row>
    <row r="194" spans="1:15" ht="15" customHeight="1">
      <c r="A194" s="132" t="s">
        <v>142</v>
      </c>
      <c r="B194" s="251" t="s">
        <v>1097</v>
      </c>
      <c r="C194" s="126" t="s">
        <v>1853</v>
      </c>
      <c r="D194" s="274">
        <v>19.038500000000003</v>
      </c>
      <c r="E194" s="351">
        <v>0.1885</v>
      </c>
      <c r="F194" s="321"/>
      <c r="G194" s="320"/>
      <c r="H194" s="299"/>
      <c r="L194" s="248">
        <v>1</v>
      </c>
      <c r="O194" s="323" t="e">
        <f>D194/#REF!</f>
        <v>#REF!</v>
      </c>
    </row>
    <row r="195" spans="1:15" ht="15" customHeight="1">
      <c r="A195" s="132" t="s">
        <v>141</v>
      </c>
      <c r="B195" s="251" t="s">
        <v>234</v>
      </c>
      <c r="C195" s="126" t="s">
        <v>5</v>
      </c>
      <c r="D195" s="274">
        <v>8.4949999999999992</v>
      </c>
      <c r="E195" s="352">
        <v>2.95</v>
      </c>
      <c r="F195" s="321"/>
      <c r="G195" s="320"/>
      <c r="H195" s="299" t="s">
        <v>1104</v>
      </c>
      <c r="I195" s="248">
        <f>(2.83+2.81+2.82+2.82+2.82+2.78+2.8+2.79+2.79+2.82+2.87+2.97+2.95+2.89+2.87+2.91+2.92+2.91+2.89+2.9+2.9+2.87)/22</f>
        <v>2.8604545454545454</v>
      </c>
      <c r="L195" s="248">
        <v>1</v>
      </c>
      <c r="O195" s="323" t="e">
        <f>D195/#REF!</f>
        <v>#REF!</v>
      </c>
    </row>
    <row r="196" spans="1:15" ht="15" customHeight="1">
      <c r="A196" s="132" t="s">
        <v>328</v>
      </c>
      <c r="B196" s="251" t="s">
        <v>1046</v>
      </c>
      <c r="C196" s="126" t="s">
        <v>1853</v>
      </c>
      <c r="D196" s="274">
        <v>12.321999999999999</v>
      </c>
      <c r="E196" s="351">
        <v>0.122</v>
      </c>
      <c r="F196" s="321"/>
      <c r="G196" s="320"/>
      <c r="H196" s="299"/>
      <c r="L196" s="248">
        <v>1</v>
      </c>
      <c r="O196" s="323" t="e">
        <f>D196/#REF!</f>
        <v>#REF!</v>
      </c>
    </row>
    <row r="197" spans="1:15" ht="15" customHeight="1">
      <c r="A197" s="132" t="s">
        <v>330</v>
      </c>
      <c r="B197" s="251" t="s">
        <v>1047</v>
      </c>
      <c r="C197" s="126" t="s">
        <v>174</v>
      </c>
      <c r="D197" s="274">
        <v>130</v>
      </c>
      <c r="E197" s="325">
        <v>120</v>
      </c>
      <c r="F197" s="321"/>
      <c r="G197" s="320"/>
      <c r="H197" s="299" t="s">
        <v>1234</v>
      </c>
      <c r="L197" s="248">
        <v>1</v>
      </c>
      <c r="O197" s="323" t="e">
        <f>D197/#REF!</f>
        <v>#REF!</v>
      </c>
    </row>
    <row r="198" spans="1:15" ht="15" customHeight="1">
      <c r="A198" s="132" t="s">
        <v>331</v>
      </c>
      <c r="B198" s="251" t="s">
        <v>332</v>
      </c>
      <c r="C198" s="126" t="s">
        <v>1876</v>
      </c>
      <c r="D198" s="274">
        <v>24</v>
      </c>
      <c r="E198" s="325">
        <v>9.5</v>
      </c>
      <c r="F198" s="321"/>
      <c r="G198" s="320"/>
      <c r="H198" s="299" t="s">
        <v>1233</v>
      </c>
      <c r="L198" s="248">
        <v>1</v>
      </c>
      <c r="O198" s="323" t="e">
        <f>D198/#REF!</f>
        <v>#REF!</v>
      </c>
    </row>
    <row r="199" spans="1:15" ht="15" customHeight="1">
      <c r="A199" s="132" t="s">
        <v>1147</v>
      </c>
      <c r="B199" s="251" t="s">
        <v>1153</v>
      </c>
      <c r="C199" s="126" t="s">
        <v>174</v>
      </c>
      <c r="D199" s="274">
        <v>12580.964707000001</v>
      </c>
      <c r="E199" s="338">
        <v>1033.2</v>
      </c>
      <c r="F199" s="321"/>
      <c r="G199" s="349"/>
      <c r="H199" s="299"/>
      <c r="O199" s="323" t="e">
        <f>D199/#REF!</f>
        <v>#REF!</v>
      </c>
    </row>
    <row r="200" spans="1:15" ht="15" customHeight="1">
      <c r="A200" s="132" t="s">
        <v>1148</v>
      </c>
      <c r="B200" s="251" t="s">
        <v>1152</v>
      </c>
      <c r="C200" s="126" t="s">
        <v>174</v>
      </c>
      <c r="D200" s="274">
        <v>14175.309600000001</v>
      </c>
      <c r="E200" s="338">
        <v>1033.2</v>
      </c>
      <c r="F200" s="321"/>
      <c r="G200" s="349"/>
      <c r="H200" s="299"/>
      <c r="O200" s="323" t="e">
        <f>D200/#REF!</f>
        <v>#REF!</v>
      </c>
    </row>
    <row r="201" spans="1:15" ht="15" customHeight="1">
      <c r="A201" s="132" t="s">
        <v>185</v>
      </c>
      <c r="B201" s="251" t="s">
        <v>235</v>
      </c>
      <c r="C201" s="126" t="s">
        <v>174</v>
      </c>
      <c r="D201" s="274">
        <v>99.173553719008268</v>
      </c>
      <c r="E201" s="353">
        <v>15.17</v>
      </c>
      <c r="F201" s="354"/>
      <c r="G201" s="320"/>
      <c r="H201" s="355" t="s">
        <v>1202</v>
      </c>
      <c r="L201" s="248">
        <v>1</v>
      </c>
      <c r="O201" s="323" t="e">
        <f>D201/#REF!</f>
        <v>#REF!</v>
      </c>
    </row>
    <row r="202" spans="1:15" ht="15" customHeight="1">
      <c r="A202" s="132" t="s">
        <v>186</v>
      </c>
      <c r="B202" s="251" t="s">
        <v>187</v>
      </c>
      <c r="C202" s="126" t="s">
        <v>345</v>
      </c>
      <c r="D202" s="274">
        <v>26.446280991735538</v>
      </c>
      <c r="E202" s="353">
        <v>2.2000000000000002</v>
      </c>
      <c r="F202" s="354"/>
      <c r="G202" s="320"/>
      <c r="H202" s="355"/>
      <c r="L202" s="248">
        <v>1</v>
      </c>
      <c r="O202" s="323" t="e">
        <f>D202/#REF!</f>
        <v>#REF!</v>
      </c>
    </row>
    <row r="203" spans="1:15" ht="15" customHeight="1">
      <c r="A203" s="132" t="s">
        <v>1415</v>
      </c>
      <c r="B203" s="252" t="s">
        <v>1414</v>
      </c>
      <c r="C203" s="128" t="s">
        <v>174</v>
      </c>
      <c r="D203" s="274">
        <v>264.76033057851242</v>
      </c>
      <c r="E203" s="356">
        <v>47.13</v>
      </c>
      <c r="F203" s="321"/>
      <c r="G203" s="320"/>
      <c r="H203" s="299"/>
      <c r="O203" s="323" t="e">
        <f>D203/#REF!</f>
        <v>#REF!</v>
      </c>
    </row>
    <row r="204" spans="1:15" ht="15" customHeight="1">
      <c r="A204" s="132" t="s">
        <v>1388</v>
      </c>
      <c r="B204" s="252" t="s">
        <v>1389</v>
      </c>
      <c r="C204" s="128" t="s">
        <v>174</v>
      </c>
      <c r="D204" s="274">
        <v>100.8283</v>
      </c>
      <c r="E204" s="353">
        <v>9.33</v>
      </c>
      <c r="F204" s="321"/>
      <c r="G204" s="320"/>
      <c r="H204" s="299"/>
      <c r="O204" s="323" t="e">
        <f>D204/#REF!</f>
        <v>#REF!</v>
      </c>
    </row>
    <row r="205" spans="1:15" ht="15" customHeight="1">
      <c r="A205" s="132" t="s">
        <v>1614</v>
      </c>
      <c r="B205" s="251" t="s">
        <v>1938</v>
      </c>
      <c r="C205" s="126" t="s">
        <v>1749</v>
      </c>
      <c r="D205" s="274">
        <v>55.785123966942152</v>
      </c>
      <c r="E205" s="325">
        <v>6.2206000000000001</v>
      </c>
      <c r="F205" s="321"/>
      <c r="G205" s="320"/>
      <c r="H205" s="299" t="s">
        <v>1184</v>
      </c>
      <c r="L205" s="248">
        <v>1</v>
      </c>
      <c r="O205" s="323" t="e">
        <f>D205/#REF!</f>
        <v>#REF!</v>
      </c>
    </row>
    <row r="206" spans="1:15" ht="15" customHeight="1">
      <c r="A206" s="132" t="s">
        <v>1829</v>
      </c>
      <c r="B206" s="251" t="s">
        <v>236</v>
      </c>
      <c r="C206" s="126" t="s">
        <v>174</v>
      </c>
      <c r="D206" s="274">
        <v>80.165289256198349</v>
      </c>
      <c r="E206" s="325">
        <v>11.07</v>
      </c>
      <c r="F206" s="321"/>
      <c r="G206" s="320"/>
      <c r="H206" s="299" t="s">
        <v>1197</v>
      </c>
      <c r="L206" s="248">
        <v>1</v>
      </c>
      <c r="O206" s="323" t="e">
        <f>D206/#REF!</f>
        <v>#REF!</v>
      </c>
    </row>
    <row r="207" spans="1:15" ht="15" customHeight="1">
      <c r="A207" s="132" t="s">
        <v>143</v>
      </c>
      <c r="B207" s="251" t="s">
        <v>121</v>
      </c>
      <c r="C207" s="126" t="s">
        <v>174</v>
      </c>
      <c r="D207" s="274">
        <v>435.47107438016525</v>
      </c>
      <c r="E207" s="325">
        <v>60.69</v>
      </c>
      <c r="F207" s="354"/>
      <c r="G207" s="320"/>
      <c r="H207" s="299"/>
      <c r="L207" s="248">
        <v>2</v>
      </c>
      <c r="O207" s="323" t="e">
        <f>D207/#REF!</f>
        <v>#REF!</v>
      </c>
    </row>
    <row r="208" spans="1:15" ht="15" customHeight="1">
      <c r="A208" s="132" t="s">
        <v>1617</v>
      </c>
      <c r="B208" s="251" t="s">
        <v>58</v>
      </c>
      <c r="C208" s="126" t="s">
        <v>174</v>
      </c>
      <c r="D208" s="274">
        <v>1610.4628099173556</v>
      </c>
      <c r="E208" s="325">
        <v>290.91000000000003</v>
      </c>
      <c r="F208" s="321"/>
      <c r="G208" s="320"/>
      <c r="H208" s="299"/>
      <c r="L208" s="248">
        <v>1</v>
      </c>
      <c r="O208" s="323" t="e">
        <f>D208/#REF!</f>
        <v>#REF!</v>
      </c>
    </row>
    <row r="209" spans="1:21" ht="15" customHeight="1">
      <c r="A209" s="132" t="s">
        <v>1616</v>
      </c>
      <c r="B209" s="251" t="s">
        <v>59</v>
      </c>
      <c r="C209" s="126" t="s">
        <v>174</v>
      </c>
      <c r="D209" s="274">
        <v>2453.1260699999998</v>
      </c>
      <c r="E209" s="325">
        <v>317.60000000000002</v>
      </c>
      <c r="F209" s="321"/>
      <c r="G209" s="320"/>
      <c r="H209" s="299"/>
      <c r="L209" s="248">
        <v>1</v>
      </c>
      <c r="O209" s="323" t="e">
        <f>D209/#REF!</f>
        <v>#REF!</v>
      </c>
    </row>
    <row r="210" spans="1:21" ht="15" customHeight="1">
      <c r="A210" s="132" t="s">
        <v>1615</v>
      </c>
      <c r="B210" s="251" t="s">
        <v>60</v>
      </c>
      <c r="C210" s="126" t="s">
        <v>174</v>
      </c>
      <c r="D210" s="274">
        <v>2717.93046</v>
      </c>
      <c r="E210" s="325">
        <v>267.44</v>
      </c>
      <c r="F210" s="321"/>
      <c r="G210" s="320"/>
      <c r="H210" s="299"/>
      <c r="L210" s="248">
        <v>1</v>
      </c>
      <c r="O210" s="323" t="e">
        <f>D210/#REF!</f>
        <v>#REF!</v>
      </c>
    </row>
    <row r="211" spans="1:21" ht="15" customHeight="1">
      <c r="A211" s="132" t="s">
        <v>1613</v>
      </c>
      <c r="B211" s="251" t="s">
        <v>178</v>
      </c>
      <c r="C211" s="126" t="s">
        <v>174</v>
      </c>
      <c r="D211" s="274">
        <v>288.71141250000005</v>
      </c>
      <c r="E211" s="325">
        <f>44.85/1.21</f>
        <v>37.066115702479344</v>
      </c>
      <c r="F211" s="321"/>
      <c r="G211" s="320"/>
      <c r="H211" s="299"/>
      <c r="L211" s="248">
        <v>1</v>
      </c>
      <c r="O211" s="323" t="e">
        <f>D211/#REF!</f>
        <v>#REF!</v>
      </c>
    </row>
    <row r="212" spans="1:21" ht="15" customHeight="1">
      <c r="A212" s="132" t="s">
        <v>1612</v>
      </c>
      <c r="B212" s="251" t="s">
        <v>237</v>
      </c>
      <c r="C212" s="126" t="s">
        <v>174</v>
      </c>
      <c r="D212" s="274">
        <v>177.9325</v>
      </c>
      <c r="E212" s="325">
        <v>9.58</v>
      </c>
      <c r="F212" s="321"/>
      <c r="G212" s="320"/>
      <c r="H212" s="299"/>
      <c r="L212" s="248">
        <v>1</v>
      </c>
      <c r="O212" s="323" t="e">
        <f>D212/#REF!</f>
        <v>#REF!</v>
      </c>
    </row>
    <row r="213" spans="1:21" ht="15" customHeight="1">
      <c r="A213" s="132" t="s">
        <v>1384</v>
      </c>
      <c r="B213" s="251" t="s">
        <v>1385</v>
      </c>
      <c r="C213" s="126" t="s">
        <v>174</v>
      </c>
      <c r="D213" s="274">
        <v>251.37150000000003</v>
      </c>
      <c r="E213" s="356">
        <v>11.99</v>
      </c>
      <c r="F213" s="321"/>
      <c r="G213" s="320"/>
      <c r="H213" s="299"/>
      <c r="O213" s="323" t="e">
        <f>D213/#REF!</f>
        <v>#REF!</v>
      </c>
    </row>
    <row r="214" spans="1:21" s="215" customFormat="1" ht="15" customHeight="1">
      <c r="A214" s="210" t="s">
        <v>1708</v>
      </c>
      <c r="B214" s="255" t="s">
        <v>1939</v>
      </c>
      <c r="C214" s="205" t="s">
        <v>1749</v>
      </c>
      <c r="D214" s="274">
        <v>251.37150000000003</v>
      </c>
      <c r="E214" s="357">
        <v>6.92</v>
      </c>
      <c r="F214" s="358"/>
      <c r="G214" s="359"/>
      <c r="H214" s="360"/>
      <c r="I214" s="248"/>
      <c r="J214" s="248"/>
      <c r="K214" s="248"/>
      <c r="L214" s="248">
        <v>1</v>
      </c>
      <c r="M214" s="248"/>
      <c r="N214" s="248"/>
      <c r="O214" s="323" t="e">
        <f>D214/#REF!</f>
        <v>#REF!</v>
      </c>
      <c r="P214" s="407"/>
      <c r="Q214" s="408"/>
      <c r="R214" s="409"/>
      <c r="S214" s="409"/>
      <c r="T214" s="409"/>
      <c r="U214" s="409"/>
    </row>
    <row r="215" spans="1:21" ht="15" customHeight="1">
      <c r="A215" s="132" t="s">
        <v>1382</v>
      </c>
      <c r="B215" s="252" t="s">
        <v>1383</v>
      </c>
      <c r="C215" s="128" t="s">
        <v>1749</v>
      </c>
      <c r="D215" s="274">
        <v>31.674208144796381</v>
      </c>
      <c r="E215" s="356">
        <v>31.68</v>
      </c>
      <c r="F215" s="321"/>
      <c r="G215" s="320"/>
      <c r="H215" s="299"/>
      <c r="O215" s="323" t="e">
        <f>D215/#REF!</f>
        <v>#REF!</v>
      </c>
    </row>
    <row r="216" spans="1:21" ht="15" customHeight="1">
      <c r="A216" s="132" t="s">
        <v>203</v>
      </c>
      <c r="B216" s="251" t="s">
        <v>204</v>
      </c>
      <c r="C216" s="126" t="s">
        <v>1749</v>
      </c>
      <c r="D216" s="274">
        <v>34.303229999999999</v>
      </c>
      <c r="E216" s="325">
        <v>5.15</v>
      </c>
      <c r="F216" s="321"/>
      <c r="G216" s="320"/>
      <c r="H216" s="299"/>
      <c r="L216" s="248">
        <v>1</v>
      </c>
      <c r="O216" s="323" t="e">
        <f>D216/#REF!</f>
        <v>#REF!</v>
      </c>
    </row>
    <row r="217" spans="1:21" ht="15" customHeight="1">
      <c r="A217" s="132" t="s">
        <v>205</v>
      </c>
      <c r="B217" s="251" t="s">
        <v>206</v>
      </c>
      <c r="C217" s="126" t="s">
        <v>1749</v>
      </c>
      <c r="D217" s="274">
        <v>50.873519999999992</v>
      </c>
      <c r="E217" s="325">
        <v>7.28</v>
      </c>
      <c r="F217" s="321"/>
      <c r="G217" s="320"/>
      <c r="H217" s="299"/>
      <c r="L217" s="248">
        <v>1</v>
      </c>
      <c r="O217" s="323" t="e">
        <f>D217/#REF!</f>
        <v>#REF!</v>
      </c>
    </row>
    <row r="218" spans="1:21" ht="15" customHeight="1">
      <c r="A218" s="132" t="s">
        <v>1386</v>
      </c>
      <c r="B218" s="251" t="s">
        <v>1387</v>
      </c>
      <c r="C218" s="126" t="s">
        <v>174</v>
      </c>
      <c r="D218" s="274">
        <v>10.075300000000002</v>
      </c>
      <c r="E218" s="325">
        <v>1.35</v>
      </c>
      <c r="F218" s="321"/>
      <c r="G218" s="320"/>
      <c r="H218" s="299"/>
      <c r="O218" s="323" t="e">
        <f>D218/#REF!</f>
        <v>#REF!</v>
      </c>
    </row>
    <row r="219" spans="1:21" ht="15" customHeight="1">
      <c r="A219" s="132" t="s">
        <v>1709</v>
      </c>
      <c r="B219" s="251" t="s">
        <v>1936</v>
      </c>
      <c r="C219" s="126" t="s">
        <v>174</v>
      </c>
      <c r="D219" s="274">
        <v>12.396694214876034</v>
      </c>
      <c r="E219" s="325">
        <f>1.5/1.21</f>
        <v>1.2396694214876034</v>
      </c>
      <c r="F219" s="321"/>
      <c r="G219" s="320"/>
      <c r="H219" s="299"/>
      <c r="L219" s="248">
        <v>1</v>
      </c>
      <c r="O219" s="323" t="e">
        <f>D219/#REF!</f>
        <v>#REF!</v>
      </c>
    </row>
    <row r="220" spans="1:21" ht="15" customHeight="1">
      <c r="A220" s="135" t="s">
        <v>1268</v>
      </c>
      <c r="B220" s="252" t="s">
        <v>1280</v>
      </c>
      <c r="C220" s="128" t="s">
        <v>174</v>
      </c>
      <c r="D220" s="274">
        <v>26.244343891402714</v>
      </c>
      <c r="E220" s="361">
        <f>E212</f>
        <v>9.58</v>
      </c>
      <c r="F220" s="321"/>
      <c r="G220" s="320"/>
      <c r="H220" s="299"/>
      <c r="O220" s="323" t="e">
        <f>D220/#REF!</f>
        <v>#REF!</v>
      </c>
    </row>
    <row r="221" spans="1:21" ht="15" customHeight="1">
      <c r="A221" s="135" t="s">
        <v>1269</v>
      </c>
      <c r="B221" s="252" t="s">
        <v>1281</v>
      </c>
      <c r="C221" s="128" t="s">
        <v>174</v>
      </c>
      <c r="D221" s="274">
        <v>227.0532</v>
      </c>
      <c r="E221" s="362">
        <f>E213</f>
        <v>11.99</v>
      </c>
      <c r="F221" s="321"/>
      <c r="G221" s="320"/>
      <c r="H221" s="299"/>
      <c r="O221" s="323" t="e">
        <f>D221/#REF!</f>
        <v>#REF!</v>
      </c>
    </row>
    <row r="222" spans="1:21" ht="15" customHeight="1">
      <c r="A222" s="135" t="s">
        <v>1270</v>
      </c>
      <c r="B222" s="252" t="s">
        <v>1282</v>
      </c>
      <c r="C222" s="128" t="s">
        <v>1749</v>
      </c>
      <c r="D222" s="274">
        <v>56.588139999999996</v>
      </c>
      <c r="E222" s="356">
        <f>E215</f>
        <v>31.68</v>
      </c>
      <c r="F222" s="321"/>
      <c r="G222" s="320"/>
      <c r="H222" s="299"/>
      <c r="O222" s="323" t="e">
        <f>D222/#REF!</f>
        <v>#REF!</v>
      </c>
      <c r="Q222" s="408" t="s">
        <v>1975</v>
      </c>
    </row>
    <row r="223" spans="1:21" ht="15" customHeight="1">
      <c r="A223" s="132" t="s">
        <v>1271</v>
      </c>
      <c r="B223" s="252" t="s">
        <v>1283</v>
      </c>
      <c r="C223" s="128" t="s">
        <v>174</v>
      </c>
      <c r="D223" s="274">
        <v>56.588139999999996</v>
      </c>
      <c r="E223" s="361">
        <f>E218</f>
        <v>1.35</v>
      </c>
      <c r="F223" s="321"/>
      <c r="G223" s="320"/>
      <c r="H223" s="299"/>
      <c r="O223" s="323" t="e">
        <f>D223/#REF!</f>
        <v>#REF!</v>
      </c>
      <c r="Q223" s="408" t="s">
        <v>1975</v>
      </c>
    </row>
    <row r="224" spans="1:21" ht="15" customHeight="1">
      <c r="A224" s="132" t="s">
        <v>1272</v>
      </c>
      <c r="B224" s="252" t="s">
        <v>1284</v>
      </c>
      <c r="C224" s="128" t="s">
        <v>174</v>
      </c>
      <c r="D224" s="274">
        <v>10.4838</v>
      </c>
      <c r="E224" s="361">
        <f>E219</f>
        <v>1.2396694214876034</v>
      </c>
      <c r="F224" s="321"/>
      <c r="G224" s="320"/>
      <c r="H224" s="299"/>
      <c r="O224" s="323" t="e">
        <f>D224/#REF!</f>
        <v>#REF!</v>
      </c>
    </row>
    <row r="225" spans="1:15" ht="15" customHeight="1">
      <c r="A225" s="132" t="s">
        <v>1273</v>
      </c>
      <c r="B225" s="252" t="s">
        <v>1285</v>
      </c>
      <c r="C225" s="128" t="s">
        <v>174</v>
      </c>
      <c r="D225" s="274">
        <v>5.5385999999999997</v>
      </c>
      <c r="E225" s="356">
        <v>1.1299999999999999</v>
      </c>
      <c r="F225" s="321"/>
      <c r="G225" s="320"/>
      <c r="H225" s="299"/>
      <c r="O225" s="323" t="e">
        <f>D225/#REF!</f>
        <v>#REF!</v>
      </c>
    </row>
    <row r="226" spans="1:15" ht="15" customHeight="1">
      <c r="A226" s="132" t="s">
        <v>1274</v>
      </c>
      <c r="B226" s="252" t="s">
        <v>1286</v>
      </c>
      <c r="C226" s="128" t="s">
        <v>174</v>
      </c>
      <c r="D226" s="274">
        <v>20.14433</v>
      </c>
      <c r="E226" s="356">
        <v>1.85</v>
      </c>
      <c r="F226" s="321"/>
      <c r="G226" s="320"/>
      <c r="H226" s="299"/>
      <c r="O226" s="323" t="e">
        <f>D226/#REF!</f>
        <v>#REF!</v>
      </c>
    </row>
    <row r="227" spans="1:15" ht="15" customHeight="1">
      <c r="A227" s="135" t="s">
        <v>1275</v>
      </c>
      <c r="B227" s="252" t="s">
        <v>1287</v>
      </c>
      <c r="C227" s="128" t="s">
        <v>174</v>
      </c>
      <c r="D227" s="274">
        <v>14.272727272727273</v>
      </c>
      <c r="E227" s="361">
        <f>E232</f>
        <v>0.61</v>
      </c>
      <c r="F227" s="321"/>
      <c r="G227" s="320"/>
      <c r="H227" s="299"/>
      <c r="O227" s="323" t="e">
        <f>D227/#REF!</f>
        <v>#REF!</v>
      </c>
    </row>
    <row r="228" spans="1:15" ht="15" customHeight="1">
      <c r="A228" s="135" t="s">
        <v>1276</v>
      </c>
      <c r="B228" s="252" t="s">
        <v>1288</v>
      </c>
      <c r="C228" s="128" t="s">
        <v>174</v>
      </c>
      <c r="D228" s="274">
        <v>22.684132231404959</v>
      </c>
      <c r="E228" s="361">
        <f>E234</f>
        <v>0.51</v>
      </c>
      <c r="F228" s="321"/>
      <c r="G228" s="320"/>
      <c r="H228" s="299"/>
      <c r="O228" s="323" t="e">
        <f>D228/#REF!</f>
        <v>#REF!</v>
      </c>
    </row>
    <row r="229" spans="1:15" ht="15" customHeight="1">
      <c r="A229" s="135" t="s">
        <v>1277</v>
      </c>
      <c r="B229" s="252" t="s">
        <v>1289</v>
      </c>
      <c r="C229" s="128" t="s">
        <v>174</v>
      </c>
      <c r="D229" s="274">
        <v>31.9968</v>
      </c>
      <c r="E229" s="361">
        <f>E233</f>
        <v>0.76</v>
      </c>
      <c r="F229" s="321"/>
      <c r="G229" s="320"/>
      <c r="H229" s="299"/>
      <c r="O229" s="323" t="e">
        <f>D229/#REF!</f>
        <v>#REF!</v>
      </c>
    </row>
    <row r="230" spans="1:15" ht="15" customHeight="1">
      <c r="A230" s="132" t="s">
        <v>1278</v>
      </c>
      <c r="B230" s="252" t="s">
        <v>1290</v>
      </c>
      <c r="C230" s="128" t="s">
        <v>174</v>
      </c>
      <c r="D230" s="274">
        <v>60.049586776859506</v>
      </c>
      <c r="E230" s="356">
        <v>14.11</v>
      </c>
      <c r="F230" s="321"/>
      <c r="G230" s="320"/>
      <c r="H230" s="299"/>
      <c r="O230" s="323" t="e">
        <f>D230/#REF!</f>
        <v>#REF!</v>
      </c>
    </row>
    <row r="231" spans="1:15" ht="15" customHeight="1">
      <c r="A231" s="132" t="s">
        <v>1279</v>
      </c>
      <c r="B231" s="252" t="s">
        <v>1291</v>
      </c>
      <c r="C231" s="128" t="s">
        <v>174</v>
      </c>
      <c r="D231" s="274">
        <v>247.93388429752068</v>
      </c>
      <c r="E231" s="361">
        <v>9.26</v>
      </c>
      <c r="F231" s="321"/>
      <c r="G231" s="320"/>
      <c r="H231" s="299"/>
      <c r="O231" s="323" t="e">
        <f>D231/#REF!</f>
        <v>#REF!</v>
      </c>
    </row>
    <row r="232" spans="1:15" ht="15" customHeight="1">
      <c r="A232" s="132" t="s">
        <v>1401</v>
      </c>
      <c r="B232" s="252" t="s">
        <v>1402</v>
      </c>
      <c r="C232" s="128" t="s">
        <v>174</v>
      </c>
      <c r="D232" s="274">
        <v>8.1652892561983474</v>
      </c>
      <c r="E232" s="356">
        <v>0.61</v>
      </c>
      <c r="F232" s="321"/>
      <c r="G232" s="320"/>
      <c r="H232" s="299"/>
      <c r="O232" s="323" t="e">
        <f>D232/#REF!</f>
        <v>#REF!</v>
      </c>
    </row>
    <row r="233" spans="1:15" ht="15" customHeight="1">
      <c r="A233" s="132" t="s">
        <v>1397</v>
      </c>
      <c r="B233" s="252" t="s">
        <v>1398</v>
      </c>
      <c r="C233" s="128" t="s">
        <v>174</v>
      </c>
      <c r="D233" s="274">
        <v>9.9504132231404956</v>
      </c>
      <c r="E233" s="356">
        <v>0.76</v>
      </c>
      <c r="F233" s="321"/>
      <c r="G233" s="320"/>
      <c r="H233" s="299"/>
      <c r="O233" s="323" t="e">
        <f>D233/#REF!</f>
        <v>#REF!</v>
      </c>
    </row>
    <row r="234" spans="1:15" ht="15" customHeight="1">
      <c r="A234" s="132" t="s">
        <v>1400</v>
      </c>
      <c r="B234" s="252" t="s">
        <v>1399</v>
      </c>
      <c r="C234" s="128" t="s">
        <v>174</v>
      </c>
      <c r="D234" s="274">
        <v>6.3140495867768598</v>
      </c>
      <c r="E234" s="356">
        <v>0.51</v>
      </c>
      <c r="F234" s="321"/>
      <c r="G234" s="320"/>
      <c r="H234" s="299"/>
      <c r="O234" s="323" t="e">
        <f>D234/#REF!</f>
        <v>#REF!</v>
      </c>
    </row>
    <row r="235" spans="1:15" ht="15" customHeight="1">
      <c r="A235" s="132" t="s">
        <v>1586</v>
      </c>
      <c r="B235" s="251" t="s">
        <v>1885</v>
      </c>
      <c r="C235" s="126" t="s">
        <v>1886</v>
      </c>
      <c r="D235" s="274">
        <v>2231.404958677686</v>
      </c>
      <c r="E235" s="325">
        <v>165.29</v>
      </c>
      <c r="F235" s="354"/>
      <c r="G235" s="349"/>
      <c r="H235" s="299" t="s">
        <v>1131</v>
      </c>
      <c r="L235" s="248">
        <v>2</v>
      </c>
      <c r="O235" s="323" t="e">
        <f>D235/#REF!</f>
        <v>#REF!</v>
      </c>
    </row>
    <row r="236" spans="1:15" ht="15" customHeight="1">
      <c r="A236" s="132" t="s">
        <v>61</v>
      </c>
      <c r="B236" s="251" t="s">
        <v>62</v>
      </c>
      <c r="C236" s="126" t="s">
        <v>174</v>
      </c>
      <c r="D236" s="274">
        <v>4.21</v>
      </c>
      <c r="E236" s="325">
        <v>0.64</v>
      </c>
      <c r="F236" s="321"/>
      <c r="G236" s="320"/>
      <c r="H236" s="299" t="s">
        <v>1189</v>
      </c>
      <c r="L236" s="248">
        <v>1</v>
      </c>
      <c r="O236" s="323" t="e">
        <f>D236/#REF!</f>
        <v>#REF!</v>
      </c>
    </row>
    <row r="237" spans="1:15" ht="15" customHeight="1">
      <c r="A237" s="132" t="s">
        <v>1587</v>
      </c>
      <c r="B237" s="251" t="s">
        <v>1883</v>
      </c>
      <c r="C237" s="126" t="s">
        <v>174</v>
      </c>
      <c r="D237" s="274">
        <v>3.3</v>
      </c>
      <c r="E237" s="325">
        <v>0.48</v>
      </c>
      <c r="F237" s="321"/>
      <c r="G237" s="320"/>
      <c r="H237" s="299" t="s">
        <v>1189</v>
      </c>
      <c r="L237" s="248">
        <v>1</v>
      </c>
      <c r="O237" s="323" t="e">
        <f>D237/#REF!</f>
        <v>#REF!</v>
      </c>
    </row>
    <row r="238" spans="1:15" ht="15" customHeight="1">
      <c r="A238" s="132" t="s">
        <v>1763</v>
      </c>
      <c r="B238" s="251" t="s">
        <v>1884</v>
      </c>
      <c r="C238" s="126" t="s">
        <v>174</v>
      </c>
      <c r="D238" s="274">
        <v>5.69</v>
      </c>
      <c r="E238" s="325">
        <v>0.84</v>
      </c>
      <c r="F238" s="321"/>
      <c r="G238" s="320"/>
      <c r="H238" s="299" t="s">
        <v>1189</v>
      </c>
      <c r="L238" s="248">
        <v>1</v>
      </c>
      <c r="O238" s="323" t="e">
        <f>D238/#REF!</f>
        <v>#REF!</v>
      </c>
    </row>
    <row r="239" spans="1:15" ht="15" customHeight="1">
      <c r="A239" s="132" t="s">
        <v>1810</v>
      </c>
      <c r="B239" s="251" t="s">
        <v>1412</v>
      </c>
      <c r="C239" s="126" t="s">
        <v>174</v>
      </c>
      <c r="D239" s="274">
        <v>7.73</v>
      </c>
      <c r="E239" s="325">
        <v>1.1000000000000001</v>
      </c>
      <c r="F239" s="321"/>
      <c r="G239" s="320"/>
      <c r="H239" s="299" t="s">
        <v>1189</v>
      </c>
      <c r="L239" s="248">
        <v>1</v>
      </c>
      <c r="O239" s="323" t="e">
        <f>D239/#REF!</f>
        <v>#REF!</v>
      </c>
    </row>
    <row r="240" spans="1:15" ht="15" customHeight="1">
      <c r="A240" s="132" t="s">
        <v>1597</v>
      </c>
      <c r="B240" s="251" t="s">
        <v>1194</v>
      </c>
      <c r="C240" s="126" t="s">
        <v>174</v>
      </c>
      <c r="D240" s="274">
        <v>8.59</v>
      </c>
      <c r="E240" s="325">
        <v>1.0900000000000001</v>
      </c>
      <c r="F240" s="321"/>
      <c r="G240" s="320"/>
      <c r="H240" s="299" t="s">
        <v>1189</v>
      </c>
      <c r="L240" s="248">
        <v>1</v>
      </c>
      <c r="O240" s="323" t="e">
        <f>D240/#REF!</f>
        <v>#REF!</v>
      </c>
    </row>
    <row r="241" spans="1:18" ht="15" customHeight="1">
      <c r="A241" s="132" t="s">
        <v>1592</v>
      </c>
      <c r="B241" s="251" t="s">
        <v>63</v>
      </c>
      <c r="C241" s="126" t="s">
        <v>1904</v>
      </c>
      <c r="D241" s="274">
        <v>2.36</v>
      </c>
      <c r="E241" s="363">
        <v>0.34</v>
      </c>
      <c r="F241" s="354"/>
      <c r="G241" s="320"/>
      <c r="H241" s="355" t="s">
        <v>1110</v>
      </c>
      <c r="L241" s="248">
        <v>2</v>
      </c>
      <c r="O241" s="323" t="e">
        <f>D241/#REF!</f>
        <v>#REF!</v>
      </c>
    </row>
    <row r="242" spans="1:18" ht="15" customHeight="1">
      <c r="A242" s="132" t="s">
        <v>1585</v>
      </c>
      <c r="B242" s="251" t="s">
        <v>1871</v>
      </c>
      <c r="C242" s="126" t="s">
        <v>1904</v>
      </c>
      <c r="D242" s="274">
        <v>1.9256198347107438</v>
      </c>
      <c r="E242" s="325">
        <f>5.23/25/1.21</f>
        <v>0.17289256198347111</v>
      </c>
      <c r="F242" s="321"/>
      <c r="G242" s="320"/>
      <c r="H242" s="322"/>
      <c r="L242" s="248">
        <v>1</v>
      </c>
      <c r="O242" s="323" t="e">
        <f>D242/#REF!</f>
        <v>#REF!</v>
      </c>
    </row>
    <row r="243" spans="1:18" ht="15" customHeight="1">
      <c r="A243" s="132" t="s">
        <v>1707</v>
      </c>
      <c r="B243" s="251" t="s">
        <v>1873</v>
      </c>
      <c r="C243" s="126" t="s">
        <v>345</v>
      </c>
      <c r="D243" s="274">
        <v>82.651835000000005</v>
      </c>
      <c r="E243" s="325">
        <v>54</v>
      </c>
      <c r="F243" s="321"/>
      <c r="G243" s="320"/>
      <c r="H243" s="299" t="s">
        <v>1111</v>
      </c>
      <c r="L243" s="248">
        <v>1</v>
      </c>
      <c r="O243" s="323" t="e">
        <f>D243/#REF!</f>
        <v>#REF!</v>
      </c>
    </row>
    <row r="244" spans="1:18" ht="15" customHeight="1">
      <c r="A244" s="419" t="s">
        <v>1578</v>
      </c>
      <c r="B244" s="420" t="s">
        <v>1872</v>
      </c>
      <c r="C244" s="421" t="s">
        <v>1904</v>
      </c>
      <c r="D244" s="274">
        <v>1.7372000000000001</v>
      </c>
      <c r="E244" s="364">
        <v>0.28000000000000003</v>
      </c>
      <c r="F244" s="354"/>
      <c r="G244" s="320"/>
      <c r="H244" s="331" t="s">
        <v>1112</v>
      </c>
      <c r="J244" s="248">
        <f>0.2416+0.021</f>
        <v>0.2626</v>
      </c>
      <c r="L244" s="248">
        <v>2</v>
      </c>
      <c r="O244" s="323" t="e">
        <f>D244/#REF!</f>
        <v>#REF!</v>
      </c>
    </row>
    <row r="245" spans="1:18" ht="15" customHeight="1">
      <c r="A245" s="132"/>
      <c r="B245" s="251"/>
      <c r="C245" s="126"/>
      <c r="D245" s="274"/>
      <c r="E245" s="325">
        <v>172.9</v>
      </c>
      <c r="F245" s="321"/>
      <c r="G245" s="365"/>
      <c r="H245" s="331" t="s">
        <v>1132</v>
      </c>
      <c r="L245" s="248">
        <v>1</v>
      </c>
      <c r="O245" s="323" t="e">
        <f>D245/#REF!</f>
        <v>#REF!</v>
      </c>
      <c r="Q245" s="408" t="s">
        <v>1966</v>
      </c>
      <c r="R245" s="409" t="s">
        <v>1970</v>
      </c>
    </row>
    <row r="246" spans="1:18" ht="15" customHeight="1">
      <c r="A246" s="132" t="s">
        <v>1589</v>
      </c>
      <c r="B246" s="251" t="s">
        <v>1874</v>
      </c>
      <c r="C246" s="126" t="s">
        <v>1904</v>
      </c>
      <c r="D246" s="274">
        <v>3.4847990000000002</v>
      </c>
      <c r="E246" s="325">
        <v>0.43</v>
      </c>
      <c r="F246" s="321"/>
      <c r="G246" s="320"/>
      <c r="H246" s="299" t="s">
        <v>1210</v>
      </c>
      <c r="L246" s="248">
        <v>3</v>
      </c>
      <c r="O246" s="323" t="e">
        <f>D246/#REF!</f>
        <v>#REF!</v>
      </c>
    </row>
    <row r="247" spans="1:18" ht="15" customHeight="1">
      <c r="A247" s="132" t="s">
        <v>144</v>
      </c>
      <c r="B247" s="251" t="s">
        <v>64</v>
      </c>
      <c r="C247" s="126" t="s">
        <v>1876</v>
      </c>
      <c r="D247" s="274">
        <v>114.87603305785125</v>
      </c>
      <c r="E247" s="325">
        <v>13.44</v>
      </c>
      <c r="F247" s="354"/>
      <c r="G247" s="320"/>
      <c r="H247" s="299" t="s">
        <v>1113</v>
      </c>
      <c r="L247" s="248">
        <v>2</v>
      </c>
      <c r="O247" s="323" t="e">
        <f>D247/#REF!</f>
        <v>#REF!</v>
      </c>
    </row>
    <row r="248" spans="1:18" ht="15" customHeight="1">
      <c r="A248" s="132" t="s">
        <v>65</v>
      </c>
      <c r="B248" s="251" t="s">
        <v>66</v>
      </c>
      <c r="C248" s="126" t="s">
        <v>1749</v>
      </c>
      <c r="D248" s="274">
        <v>22.314049586776861</v>
      </c>
      <c r="E248" s="325">
        <v>2.59</v>
      </c>
      <c r="F248" s="354"/>
      <c r="G248" s="320"/>
      <c r="H248" s="299"/>
      <c r="L248" s="248">
        <v>2</v>
      </c>
      <c r="O248" s="323" t="e">
        <f>D248/#REF!</f>
        <v>#REF!</v>
      </c>
    </row>
    <row r="249" spans="1:18" ht="15" customHeight="1">
      <c r="A249" s="132" t="s">
        <v>67</v>
      </c>
      <c r="B249" s="251" t="s">
        <v>1390</v>
      </c>
      <c r="C249" s="126" t="s">
        <v>1876</v>
      </c>
      <c r="D249" s="274">
        <v>110.74380165289256</v>
      </c>
      <c r="E249" s="325">
        <v>14.88</v>
      </c>
      <c r="F249" s="354"/>
      <c r="G249" s="320"/>
      <c r="H249" s="299"/>
      <c r="L249" s="248">
        <v>2</v>
      </c>
      <c r="O249" s="323" t="e">
        <f>D249/#REF!</f>
        <v>#REF!</v>
      </c>
    </row>
    <row r="250" spans="1:18" ht="15" customHeight="1">
      <c r="A250" s="132" t="s">
        <v>1292</v>
      </c>
      <c r="B250" s="251" t="s">
        <v>1295</v>
      </c>
      <c r="C250" s="126" t="s">
        <v>1876</v>
      </c>
      <c r="D250" s="274">
        <v>89.075000000000003</v>
      </c>
      <c r="E250" s="325">
        <v>11.16</v>
      </c>
      <c r="F250" s="354"/>
      <c r="G250" s="320"/>
      <c r="H250" s="299"/>
      <c r="O250" s="323" t="e">
        <f>D250/#REF!</f>
        <v>#REF!</v>
      </c>
    </row>
    <row r="251" spans="1:18" ht="15" customHeight="1">
      <c r="A251" s="135" t="s">
        <v>145</v>
      </c>
      <c r="B251" s="251" t="s">
        <v>1404</v>
      </c>
      <c r="C251" s="126" t="s">
        <v>1876</v>
      </c>
      <c r="D251" s="274">
        <v>95.177685950413235</v>
      </c>
      <c r="E251" s="339">
        <f>12.8/1.21</f>
        <v>10.578512396694215</v>
      </c>
      <c r="F251" s="354"/>
      <c r="G251" s="320"/>
      <c r="H251" s="322"/>
      <c r="L251" s="248">
        <v>2</v>
      </c>
      <c r="O251" s="323" t="e">
        <f>D251/#REF!</f>
        <v>#REF!</v>
      </c>
    </row>
    <row r="252" spans="1:18" ht="15" customHeight="1">
      <c r="A252" s="132" t="s">
        <v>145</v>
      </c>
      <c r="B252" s="251" t="s">
        <v>68</v>
      </c>
      <c r="C252" s="126" t="s">
        <v>1876</v>
      </c>
      <c r="D252" s="274">
        <v>95.177685950413235</v>
      </c>
      <c r="E252" s="363">
        <v>11.49</v>
      </c>
      <c r="F252" s="354"/>
      <c r="G252" s="320"/>
      <c r="H252" s="299"/>
      <c r="L252" s="248">
        <v>2</v>
      </c>
      <c r="O252" s="323" t="e">
        <f>D252/#REF!</f>
        <v>#REF!</v>
      </c>
    </row>
    <row r="253" spans="1:18" ht="15" customHeight="1">
      <c r="A253" s="132" t="s">
        <v>1293</v>
      </c>
      <c r="B253" s="251" t="s">
        <v>1296</v>
      </c>
      <c r="C253" s="126" t="s">
        <v>1876</v>
      </c>
      <c r="D253" s="274">
        <v>56.611570247933884</v>
      </c>
      <c r="E253" s="363">
        <v>7.44</v>
      </c>
      <c r="F253" s="354"/>
      <c r="G253" s="320"/>
      <c r="H253" s="299"/>
      <c r="O253" s="323" t="e">
        <f>D253/#REF!</f>
        <v>#REF!</v>
      </c>
    </row>
    <row r="254" spans="1:18" ht="15" customHeight="1">
      <c r="A254" s="132" t="s">
        <v>1294</v>
      </c>
      <c r="B254" s="251" t="s">
        <v>1297</v>
      </c>
      <c r="C254" s="126" t="s">
        <v>1749</v>
      </c>
      <c r="D254" s="274">
        <v>9.8483471074380162</v>
      </c>
      <c r="E254" s="363">
        <v>0.91</v>
      </c>
      <c r="F254" s="354"/>
      <c r="G254" s="320"/>
      <c r="H254" s="299"/>
      <c r="O254" s="323" t="e">
        <f>D254/#REF!</f>
        <v>#REF!</v>
      </c>
    </row>
    <row r="255" spans="1:18" ht="15" customHeight="1">
      <c r="A255" s="132" t="s">
        <v>1699</v>
      </c>
      <c r="B255" s="251" t="s">
        <v>1940</v>
      </c>
      <c r="C255" s="126" t="s">
        <v>1749</v>
      </c>
      <c r="D255" s="274">
        <v>49.66</v>
      </c>
      <c r="E255" s="325">
        <v>6.5</v>
      </c>
      <c r="F255" s="354"/>
      <c r="G255" s="320"/>
      <c r="H255" s="299"/>
      <c r="L255" s="248">
        <v>2</v>
      </c>
      <c r="O255" s="323" t="e">
        <f>D255/#REF!</f>
        <v>#REF!</v>
      </c>
    </row>
    <row r="256" spans="1:18" ht="15" customHeight="1">
      <c r="A256" s="132" t="s">
        <v>1298</v>
      </c>
      <c r="B256" s="251" t="s">
        <v>1303</v>
      </c>
      <c r="C256" s="126" t="s">
        <v>1876</v>
      </c>
      <c r="D256" s="274">
        <v>162.87</v>
      </c>
      <c r="E256" s="325">
        <v>24.8065</v>
      </c>
      <c r="F256" s="354"/>
      <c r="G256" s="320"/>
      <c r="H256" s="299"/>
      <c r="O256" s="323" t="e">
        <f>D256/#REF!</f>
        <v>#REF!</v>
      </c>
    </row>
    <row r="257" spans="1:15" ht="15" customHeight="1">
      <c r="A257" s="132" t="s">
        <v>1299</v>
      </c>
      <c r="B257" s="251" t="s">
        <v>1304</v>
      </c>
      <c r="C257" s="126" t="s">
        <v>1876</v>
      </c>
      <c r="D257" s="274">
        <v>198.52</v>
      </c>
      <c r="E257" s="325">
        <v>28.105</v>
      </c>
      <c r="F257" s="354"/>
      <c r="G257" s="320"/>
      <c r="H257" s="299"/>
      <c r="O257" s="323" t="e">
        <f>D257/#REF!</f>
        <v>#REF!</v>
      </c>
    </row>
    <row r="258" spans="1:15" ht="15" customHeight="1">
      <c r="A258" s="132" t="s">
        <v>1700</v>
      </c>
      <c r="B258" s="251" t="s">
        <v>1941</v>
      </c>
      <c r="C258" s="126" t="s">
        <v>1749</v>
      </c>
      <c r="D258" s="274">
        <v>5.3636363636363642</v>
      </c>
      <c r="E258" s="325">
        <v>0.63</v>
      </c>
      <c r="F258" s="354"/>
      <c r="G258" s="320"/>
      <c r="H258" s="299"/>
      <c r="L258" s="248">
        <v>2</v>
      </c>
      <c r="O258" s="323" t="e">
        <f>D258/#REF!</f>
        <v>#REF!</v>
      </c>
    </row>
    <row r="259" spans="1:15" ht="15" customHeight="1">
      <c r="A259" s="132" t="s">
        <v>1300</v>
      </c>
      <c r="B259" s="251" t="s">
        <v>1305</v>
      </c>
      <c r="C259" s="126" t="s">
        <v>1749</v>
      </c>
      <c r="D259" s="274">
        <v>28.93</v>
      </c>
      <c r="E259" s="325">
        <v>3.9668999999999999</v>
      </c>
      <c r="F259" s="354"/>
      <c r="G259" s="320"/>
      <c r="H259" s="299"/>
      <c r="O259" s="323" t="e">
        <f>D259/#REF!</f>
        <v>#REF!</v>
      </c>
    </row>
    <row r="260" spans="1:15" ht="15" customHeight="1">
      <c r="A260" s="132" t="s">
        <v>1301</v>
      </c>
      <c r="B260" s="251" t="s">
        <v>1306</v>
      </c>
      <c r="C260" s="126" t="s">
        <v>1876</v>
      </c>
      <c r="D260" s="274">
        <v>330.89</v>
      </c>
      <c r="E260" s="325">
        <v>48.677700000000002</v>
      </c>
      <c r="F260" s="354"/>
      <c r="G260" s="320"/>
      <c r="H260" s="299"/>
      <c r="O260" s="323" t="e">
        <f>D260/#REF!</f>
        <v>#REF!</v>
      </c>
    </row>
    <row r="261" spans="1:15" ht="15" customHeight="1">
      <c r="A261" s="132" t="s">
        <v>1302</v>
      </c>
      <c r="B261" s="251" t="s">
        <v>1307</v>
      </c>
      <c r="C261" s="126" t="s">
        <v>1749</v>
      </c>
      <c r="D261" s="274">
        <v>44.52</v>
      </c>
      <c r="E261" s="325">
        <v>7.7934000000000001</v>
      </c>
      <c r="F261" s="354"/>
      <c r="G261" s="320"/>
      <c r="H261" s="299"/>
      <c r="O261" s="323" t="e">
        <f>D261/#REF!</f>
        <v>#REF!</v>
      </c>
    </row>
    <row r="262" spans="1:15" ht="15" customHeight="1">
      <c r="A262" s="132" t="s">
        <v>1705</v>
      </c>
      <c r="B262" s="251" t="s">
        <v>1942</v>
      </c>
      <c r="C262" s="126" t="s">
        <v>1749</v>
      </c>
      <c r="D262" s="274">
        <v>18.29</v>
      </c>
      <c r="E262" s="325">
        <v>2.2397</v>
      </c>
      <c r="F262" s="354"/>
      <c r="G262" s="320"/>
      <c r="H262" s="299"/>
      <c r="L262" s="248">
        <v>2</v>
      </c>
      <c r="O262" s="323" t="e">
        <f>D262/#REF!</f>
        <v>#REF!</v>
      </c>
    </row>
    <row r="263" spans="1:15" ht="15" customHeight="1">
      <c r="A263" s="132" t="s">
        <v>1048</v>
      </c>
      <c r="B263" s="251" t="s">
        <v>1049</v>
      </c>
      <c r="C263" s="126" t="s">
        <v>174</v>
      </c>
      <c r="D263" s="274">
        <v>289.25</v>
      </c>
      <c r="E263" s="366"/>
      <c r="F263" s="321"/>
      <c r="G263" s="332">
        <v>27</v>
      </c>
      <c r="H263" s="367" t="s">
        <v>1114</v>
      </c>
      <c r="L263" s="248">
        <v>1</v>
      </c>
      <c r="O263" s="323" t="e">
        <f>D263/#REF!</f>
        <v>#REF!</v>
      </c>
    </row>
    <row r="264" spans="1:15" ht="15" customHeight="1">
      <c r="A264" s="132" t="s">
        <v>1050</v>
      </c>
      <c r="B264" s="251" t="s">
        <v>1051</v>
      </c>
      <c r="C264" s="126" t="s">
        <v>174</v>
      </c>
      <c r="D264" s="274">
        <v>175.45</v>
      </c>
      <c r="E264" s="366"/>
      <c r="F264" s="321"/>
      <c r="G264" s="332">
        <v>18</v>
      </c>
      <c r="H264" s="367" t="s">
        <v>1114</v>
      </c>
      <c r="L264" s="248">
        <v>1</v>
      </c>
      <c r="O264" s="323" t="e">
        <f>D264/#REF!</f>
        <v>#REF!</v>
      </c>
    </row>
    <row r="265" spans="1:15" ht="15" customHeight="1">
      <c r="A265" s="132" t="s">
        <v>1052</v>
      </c>
      <c r="B265" s="255" t="s">
        <v>1023</v>
      </c>
      <c r="C265" s="126" t="s">
        <v>174</v>
      </c>
      <c r="D265" s="274">
        <v>11.57</v>
      </c>
      <c r="E265" s="339"/>
      <c r="F265" s="321"/>
      <c r="G265" s="332">
        <v>1.1000000000000001</v>
      </c>
      <c r="H265" s="367" t="s">
        <v>1114</v>
      </c>
      <c r="L265" s="248">
        <v>1</v>
      </c>
      <c r="O265" s="323" t="e">
        <f>D265/#REF!</f>
        <v>#REF!</v>
      </c>
    </row>
    <row r="266" spans="1:15" ht="15" customHeight="1">
      <c r="A266" s="132" t="s">
        <v>1053</v>
      </c>
      <c r="B266" s="255" t="s">
        <v>1024</v>
      </c>
      <c r="C266" s="126" t="s">
        <v>174</v>
      </c>
      <c r="D266" s="274">
        <v>9.92</v>
      </c>
      <c r="E266" s="339"/>
      <c r="F266" s="321"/>
      <c r="G266" s="332">
        <v>0.9</v>
      </c>
      <c r="H266" s="367" t="s">
        <v>1114</v>
      </c>
      <c r="L266" s="248">
        <v>1</v>
      </c>
      <c r="O266" s="323" t="e">
        <f>D266/#REF!</f>
        <v>#REF!</v>
      </c>
    </row>
    <row r="267" spans="1:15" ht="15" customHeight="1">
      <c r="A267" s="132" t="s">
        <v>1215</v>
      </c>
      <c r="B267" s="251" t="s">
        <v>1138</v>
      </c>
      <c r="C267" s="126" t="s">
        <v>174</v>
      </c>
      <c r="D267" s="274">
        <v>4880.5</v>
      </c>
      <c r="E267" s="339"/>
      <c r="F267" s="321"/>
      <c r="G267" s="332">
        <f>322+91+910</f>
        <v>1323</v>
      </c>
      <c r="H267" s="367" t="s">
        <v>1114</v>
      </c>
      <c r="I267" s="367"/>
      <c r="J267" s="368"/>
      <c r="L267" s="248">
        <v>1</v>
      </c>
      <c r="O267" s="323" t="e">
        <f>D267/#REF!</f>
        <v>#REF!</v>
      </c>
    </row>
    <row r="268" spans="1:15" ht="15" customHeight="1">
      <c r="A268" s="132" t="s">
        <v>1308</v>
      </c>
      <c r="B268" s="251" t="s">
        <v>1309</v>
      </c>
      <c r="C268" s="126" t="s">
        <v>1876</v>
      </c>
      <c r="D268" s="274">
        <v>284</v>
      </c>
      <c r="E268" s="325">
        <v>27.76</v>
      </c>
      <c r="F268" s="321" t="s">
        <v>363</v>
      </c>
      <c r="G268" s="369"/>
      <c r="H268" s="367"/>
      <c r="I268" s="367"/>
      <c r="J268" s="368"/>
      <c r="O268" s="323" t="e">
        <f>D268/#REF!</f>
        <v>#REF!</v>
      </c>
    </row>
    <row r="269" spans="1:15" ht="15" customHeight="1">
      <c r="A269" s="132" t="s">
        <v>1861</v>
      </c>
      <c r="B269" s="251" t="s">
        <v>1862</v>
      </c>
      <c r="C269" s="126" t="s">
        <v>1863</v>
      </c>
      <c r="D269" s="274">
        <v>81.94</v>
      </c>
      <c r="E269" s="338">
        <v>5.6120000000000001</v>
      </c>
      <c r="F269" s="321"/>
      <c r="G269" s="320"/>
      <c r="H269" s="322" t="s">
        <v>1161</v>
      </c>
      <c r="I269" s="370">
        <f>106.9/176</f>
        <v>0.60738636363636367</v>
      </c>
      <c r="J269" s="371" t="s">
        <v>1160</v>
      </c>
      <c r="L269" s="248">
        <v>1</v>
      </c>
      <c r="O269" s="323" t="e">
        <f>D269/#REF!</f>
        <v>#REF!</v>
      </c>
    </row>
    <row r="270" spans="1:15" ht="15" customHeight="1">
      <c r="A270" s="132" t="s">
        <v>1864</v>
      </c>
      <c r="B270" s="251" t="s">
        <v>1865</v>
      </c>
      <c r="C270" s="126" t="s">
        <v>1863</v>
      </c>
      <c r="D270" s="274">
        <v>69.87</v>
      </c>
      <c r="E270" s="338">
        <v>5.3780000000000001</v>
      </c>
      <c r="F270" s="321"/>
      <c r="G270" s="320"/>
      <c r="H270" s="322"/>
      <c r="I270" s="372">
        <v>6.9000000000000006E-2</v>
      </c>
      <c r="J270" s="248" t="s">
        <v>1133</v>
      </c>
      <c r="L270" s="248">
        <v>1</v>
      </c>
      <c r="O270" s="323" t="e">
        <f>D270/#REF!</f>
        <v>#REF!</v>
      </c>
    </row>
    <row r="271" spans="1:15" ht="15" customHeight="1">
      <c r="A271" s="132" t="s">
        <v>1866</v>
      </c>
      <c r="B271" s="251" t="s">
        <v>1867</v>
      </c>
      <c r="C271" s="126" t="s">
        <v>1863</v>
      </c>
      <c r="D271" s="274">
        <v>64.44</v>
      </c>
      <c r="E271" s="338">
        <v>5.2210000000000001</v>
      </c>
      <c r="F271" s="321"/>
      <c r="G271" s="320"/>
      <c r="H271" s="322"/>
      <c r="L271" s="248">
        <v>1</v>
      </c>
      <c r="O271" s="323" t="e">
        <f>D271/#REF!</f>
        <v>#REF!</v>
      </c>
    </row>
    <row r="272" spans="1:15" ht="15" customHeight="1">
      <c r="A272" s="132" t="s">
        <v>1868</v>
      </c>
      <c r="B272" s="251" t="s">
        <v>1869</v>
      </c>
      <c r="C272" s="126" t="s">
        <v>1863</v>
      </c>
      <c r="D272" s="274">
        <v>59.18</v>
      </c>
      <c r="E272" s="338">
        <v>5.1820000000000004</v>
      </c>
      <c r="F272" s="321"/>
      <c r="G272" s="320"/>
      <c r="H272" s="322"/>
      <c r="L272" s="248">
        <v>1</v>
      </c>
      <c r="O272" s="323" t="e">
        <f>D272/#REF!</f>
        <v>#REF!</v>
      </c>
    </row>
    <row r="273" spans="1:15" ht="15" customHeight="1">
      <c r="A273" s="132" t="s">
        <v>1054</v>
      </c>
      <c r="B273" s="251" t="s">
        <v>1055</v>
      </c>
      <c r="C273" s="126" t="s">
        <v>1863</v>
      </c>
      <c r="D273" s="274">
        <v>70.33</v>
      </c>
      <c r="E273" s="373">
        <f>(E272+E270+E269)/3</f>
        <v>5.3906666666666672</v>
      </c>
      <c r="F273" s="319"/>
      <c r="G273" s="318"/>
      <c r="H273" s="322"/>
      <c r="L273" s="248">
        <v>1</v>
      </c>
      <c r="O273" s="323" t="e">
        <f>D273/#REF!</f>
        <v>#REF!</v>
      </c>
    </row>
    <row r="274" spans="1:15" ht="15" customHeight="1">
      <c r="A274" s="132" t="s">
        <v>1575</v>
      </c>
      <c r="B274" s="251" t="s">
        <v>1870</v>
      </c>
      <c r="C274" s="126" t="s">
        <v>1863</v>
      </c>
      <c r="D274" s="274">
        <v>64.12</v>
      </c>
      <c r="E274" s="373">
        <f>ROUND(0.1*E269+0.2*E270+0.1*E271+0.6*E272,3)</f>
        <v>5.2679999999999998</v>
      </c>
      <c r="F274" s="319"/>
      <c r="G274" s="318"/>
      <c r="H274" s="299"/>
      <c r="L274" s="248">
        <v>1</v>
      </c>
      <c r="O274" s="323" t="e">
        <f>D274/#REF!</f>
        <v>#REF!</v>
      </c>
    </row>
    <row r="275" spans="1:15" ht="15" customHeight="1">
      <c r="A275" s="132" t="s">
        <v>1607</v>
      </c>
      <c r="B275" s="251" t="s">
        <v>1949</v>
      </c>
      <c r="C275" s="126" t="s">
        <v>1863</v>
      </c>
      <c r="D275" s="274">
        <v>74.430000000000007</v>
      </c>
      <c r="E275" s="373">
        <f>ROUND(0.6*E269+0.1*E270+0.1*E271+0.2*E272,3)</f>
        <v>5.4640000000000004</v>
      </c>
      <c r="F275" s="319"/>
      <c r="G275" s="318"/>
      <c r="H275" s="299"/>
      <c r="L275" s="248">
        <v>1</v>
      </c>
      <c r="O275" s="323" t="e">
        <f>D275/#REF!</f>
        <v>#REF!</v>
      </c>
    </row>
    <row r="276" spans="1:15" ht="15" customHeight="1">
      <c r="A276" s="132" t="s">
        <v>1149</v>
      </c>
      <c r="B276" s="251" t="s">
        <v>1150</v>
      </c>
      <c r="C276" s="126" t="s">
        <v>1863</v>
      </c>
      <c r="D276" s="274">
        <v>81.94</v>
      </c>
      <c r="E276" s="374">
        <f>E269</f>
        <v>5.6120000000000001</v>
      </c>
      <c r="F276" s="319"/>
      <c r="G276" s="318"/>
      <c r="H276" s="299"/>
      <c r="O276" s="323" t="e">
        <f>D276/#REF!</f>
        <v>#REF!</v>
      </c>
    </row>
    <row r="277" spans="1:15" ht="15" customHeight="1">
      <c r="A277" s="136" t="s">
        <v>1265</v>
      </c>
      <c r="B277" s="255" t="s">
        <v>422</v>
      </c>
      <c r="C277" s="126" t="s">
        <v>174</v>
      </c>
      <c r="D277" s="274">
        <v>19394.52</v>
      </c>
      <c r="E277" s="375">
        <v>2468.23</v>
      </c>
      <c r="F277" s="321"/>
      <c r="G277" s="320"/>
      <c r="H277" s="299" t="s">
        <v>1115</v>
      </c>
      <c r="L277" s="248">
        <v>1</v>
      </c>
      <c r="O277" s="323" t="e">
        <f>D277/#REF!</f>
        <v>#REF!</v>
      </c>
    </row>
    <row r="278" spans="1:15" ht="15" customHeight="1">
      <c r="A278" s="136" t="s">
        <v>207</v>
      </c>
      <c r="B278" s="251" t="s">
        <v>208</v>
      </c>
      <c r="C278" s="126" t="s">
        <v>174</v>
      </c>
      <c r="D278" s="274">
        <v>22443.61</v>
      </c>
      <c r="E278" s="375">
        <v>2850.02</v>
      </c>
      <c r="F278" s="321"/>
      <c r="G278" s="320"/>
      <c r="H278" s="299"/>
      <c r="O278" s="323" t="e">
        <f>D278/#REF!</f>
        <v>#REF!</v>
      </c>
    </row>
    <row r="279" spans="1:15" ht="15" customHeight="1">
      <c r="A279" s="136" t="s">
        <v>209</v>
      </c>
      <c r="B279" s="256" t="s">
        <v>210</v>
      </c>
      <c r="C279" s="126" t="s">
        <v>174</v>
      </c>
      <c r="D279" s="274">
        <v>8975.3516581524982</v>
      </c>
      <c r="E279" s="376">
        <v>2139.79</v>
      </c>
      <c r="F279" s="321"/>
      <c r="G279" s="320"/>
      <c r="H279" s="299"/>
      <c r="L279" s="248">
        <v>1</v>
      </c>
      <c r="O279" s="323" t="e">
        <f>D279/#REF!</f>
        <v>#REF!</v>
      </c>
    </row>
    <row r="280" spans="1:15" ht="15" customHeight="1">
      <c r="A280" s="136" t="s">
        <v>211</v>
      </c>
      <c r="B280" s="251" t="s">
        <v>212</v>
      </c>
      <c r="C280" s="126" t="s">
        <v>174</v>
      </c>
      <c r="D280" s="274">
        <v>2473.8842975206612</v>
      </c>
      <c r="E280" s="375">
        <f>807.75/1.21</f>
        <v>667.56198347107443</v>
      </c>
      <c r="F280" s="321"/>
      <c r="G280" s="320"/>
      <c r="H280" s="299"/>
      <c r="L280" s="248">
        <v>1</v>
      </c>
      <c r="O280" s="323" t="e">
        <f>D280/#REF!</f>
        <v>#REF!</v>
      </c>
    </row>
    <row r="281" spans="1:15" ht="15" customHeight="1">
      <c r="A281" s="136" t="s">
        <v>213</v>
      </c>
      <c r="B281" s="251" t="s">
        <v>214</v>
      </c>
      <c r="C281" s="126" t="s">
        <v>1749</v>
      </c>
      <c r="D281" s="274">
        <v>261.10000000000002</v>
      </c>
      <c r="E281" s="375">
        <v>26.86</v>
      </c>
      <c r="F281" s="321"/>
      <c r="G281" s="320"/>
      <c r="H281" s="299"/>
      <c r="L281" s="248">
        <v>1</v>
      </c>
      <c r="O281" s="323" t="e">
        <f>D281/#REF!</f>
        <v>#REF!</v>
      </c>
    </row>
    <row r="282" spans="1:15" ht="15" customHeight="1">
      <c r="A282" s="136" t="s">
        <v>215</v>
      </c>
      <c r="B282" s="251" t="s">
        <v>321</v>
      </c>
      <c r="C282" s="126" t="s">
        <v>1749</v>
      </c>
      <c r="D282" s="274">
        <v>542.75857142857137</v>
      </c>
      <c r="E282" s="375">
        <v>42.23</v>
      </c>
      <c r="F282" s="321"/>
      <c r="G282" s="320"/>
      <c r="H282" s="299"/>
      <c r="L282" s="248">
        <v>1</v>
      </c>
      <c r="O282" s="323" t="e">
        <f>D282/#REF!</f>
        <v>#REF!</v>
      </c>
    </row>
    <row r="283" spans="1:15" ht="15" customHeight="1">
      <c r="A283" s="132" t="s">
        <v>1712</v>
      </c>
      <c r="B283" s="251" t="s">
        <v>69</v>
      </c>
      <c r="C283" s="126" t="s">
        <v>344</v>
      </c>
      <c r="D283" s="274">
        <v>31.714049586776859</v>
      </c>
      <c r="E283" s="325">
        <v>3.64</v>
      </c>
      <c r="F283" s="321"/>
      <c r="G283" s="320"/>
      <c r="H283" s="299" t="s">
        <v>1116</v>
      </c>
      <c r="L283" s="248">
        <v>3</v>
      </c>
      <c r="O283" s="323" t="e">
        <f>D283/#REF!</f>
        <v>#REF!</v>
      </c>
    </row>
    <row r="284" spans="1:15" ht="15" customHeight="1">
      <c r="A284" s="132" t="s">
        <v>181</v>
      </c>
      <c r="B284" s="251" t="s">
        <v>70</v>
      </c>
      <c r="C284" s="126" t="s">
        <v>174</v>
      </c>
      <c r="D284" s="274">
        <v>290.31</v>
      </c>
      <c r="E284" s="325">
        <v>35.25</v>
      </c>
      <c r="F284" s="321"/>
      <c r="G284" s="320"/>
      <c r="H284" s="299"/>
      <c r="O284" s="323" t="e">
        <f>D284/#REF!</f>
        <v>#REF!</v>
      </c>
    </row>
    <row r="285" spans="1:15" ht="15" customHeight="1">
      <c r="A285" s="132" t="s">
        <v>1619</v>
      </c>
      <c r="B285" s="251" t="s">
        <v>1902</v>
      </c>
      <c r="C285" s="126" t="s">
        <v>174</v>
      </c>
      <c r="D285" s="274">
        <v>329.42809917355373</v>
      </c>
      <c r="E285" s="325">
        <v>39.92</v>
      </c>
      <c r="F285" s="321"/>
      <c r="G285" s="320"/>
      <c r="H285" s="299"/>
      <c r="O285" s="323" t="e">
        <f>D285/#REF!</f>
        <v>#REF!</v>
      </c>
    </row>
    <row r="286" spans="1:15" ht="15" customHeight="1">
      <c r="A286" s="132" t="s">
        <v>1720</v>
      </c>
      <c r="B286" s="251" t="s">
        <v>1926</v>
      </c>
      <c r="C286" s="126" t="s">
        <v>174</v>
      </c>
      <c r="D286" s="274">
        <v>26.998347107438018</v>
      </c>
      <c r="E286" s="325">
        <v>2.31</v>
      </c>
      <c r="F286" s="321"/>
      <c r="G286" s="320"/>
      <c r="H286" s="299"/>
      <c r="L286" s="248">
        <v>3</v>
      </c>
      <c r="O286" s="323" t="e">
        <f>D286/#REF!</f>
        <v>#REF!</v>
      </c>
    </row>
    <row r="287" spans="1:15" ht="15" customHeight="1">
      <c r="A287" s="132" t="s">
        <v>1618</v>
      </c>
      <c r="B287" s="251" t="s">
        <v>1903</v>
      </c>
      <c r="C287" s="126" t="s">
        <v>174</v>
      </c>
      <c r="D287" s="274">
        <v>736.7371900826447</v>
      </c>
      <c r="E287" s="325">
        <v>135.59</v>
      </c>
      <c r="F287" s="321"/>
      <c r="G287" s="320"/>
      <c r="H287" s="299"/>
      <c r="L287" s="248">
        <v>3</v>
      </c>
      <c r="O287" s="323" t="e">
        <f>D287/#REF!</f>
        <v>#REF!</v>
      </c>
    </row>
    <row r="288" spans="1:15" ht="15" customHeight="1">
      <c r="A288" s="132" t="s">
        <v>1621</v>
      </c>
      <c r="B288" s="251" t="s">
        <v>1881</v>
      </c>
      <c r="C288" s="126" t="s">
        <v>344</v>
      </c>
      <c r="D288" s="274">
        <v>23.237676</v>
      </c>
      <c r="E288" s="325">
        <v>3.6825000000000001</v>
      </c>
      <c r="F288" s="354"/>
      <c r="G288" s="320"/>
      <c r="H288" s="299"/>
      <c r="J288" s="377" t="s">
        <v>1163</v>
      </c>
      <c r="L288" s="248">
        <v>2</v>
      </c>
      <c r="O288" s="323" t="e">
        <f>D288/#REF!</f>
        <v>#REF!</v>
      </c>
    </row>
    <row r="289" spans="1:15" ht="15" customHeight="1">
      <c r="A289" s="132" t="s">
        <v>1711</v>
      </c>
      <c r="B289" s="251" t="s">
        <v>1927</v>
      </c>
      <c r="C289" s="126" t="s">
        <v>344</v>
      </c>
      <c r="D289" s="274">
        <v>36.473553719008265</v>
      </c>
      <c r="E289" s="325">
        <v>3.73</v>
      </c>
      <c r="F289" s="321"/>
      <c r="G289" s="320"/>
      <c r="H289" s="299"/>
      <c r="I289" s="343" t="s">
        <v>1162</v>
      </c>
      <c r="J289" s="378" t="s">
        <v>1139</v>
      </c>
      <c r="L289" s="248">
        <v>3</v>
      </c>
      <c r="O289" s="323" t="e">
        <f>D289/#REF!</f>
        <v>#REF!</v>
      </c>
    </row>
    <row r="290" spans="1:15" ht="15" customHeight="1">
      <c r="A290" s="132" t="s">
        <v>1600</v>
      </c>
      <c r="B290" s="251" t="s">
        <v>1170</v>
      </c>
      <c r="C290" s="126" t="s">
        <v>1904</v>
      </c>
      <c r="D290" s="274">
        <v>8.5542000000000016</v>
      </c>
      <c r="E290" s="325">
        <v>1.49</v>
      </c>
      <c r="F290" s="354"/>
      <c r="G290" s="320"/>
      <c r="H290" s="379" t="s">
        <v>1136</v>
      </c>
      <c r="I290" s="380">
        <v>25.893999999999998</v>
      </c>
      <c r="J290" s="381">
        <f>I290/30</f>
        <v>0.86313333333333331</v>
      </c>
      <c r="K290" s="283">
        <f>J290+J291</f>
        <v>1.7964666666666667</v>
      </c>
      <c r="L290" s="248">
        <v>1</v>
      </c>
      <c r="O290" s="323" t="e">
        <f>D290/#REF!</f>
        <v>#REF!</v>
      </c>
    </row>
    <row r="291" spans="1:15" ht="15" customHeight="1">
      <c r="A291" s="132" t="s">
        <v>1713</v>
      </c>
      <c r="B291" s="251" t="s">
        <v>1928</v>
      </c>
      <c r="C291" s="126" t="s">
        <v>344</v>
      </c>
      <c r="D291" s="274">
        <v>70.15702479338843</v>
      </c>
      <c r="E291" s="325">
        <v>7.18</v>
      </c>
      <c r="F291" s="321"/>
      <c r="G291" s="320"/>
      <c r="H291" s="299" t="s">
        <v>1137</v>
      </c>
      <c r="I291" s="382">
        <v>14</v>
      </c>
      <c r="J291" s="381">
        <f>I291/15</f>
        <v>0.93333333333333335</v>
      </c>
      <c r="K291" s="383">
        <f>K290/1.21</f>
        <v>1.4846831955922866</v>
      </c>
      <c r="L291" s="248">
        <v>3</v>
      </c>
      <c r="O291" s="323" t="e">
        <f>D291/#REF!</f>
        <v>#REF!</v>
      </c>
    </row>
    <row r="292" spans="1:15" ht="15" customHeight="1">
      <c r="A292" s="132" t="s">
        <v>71</v>
      </c>
      <c r="B292" s="251" t="s">
        <v>1811</v>
      </c>
      <c r="C292" s="126" t="s">
        <v>344</v>
      </c>
      <c r="D292" s="274">
        <v>37.504132231404959</v>
      </c>
      <c r="E292" s="325">
        <v>4.32</v>
      </c>
      <c r="F292" s="321"/>
      <c r="G292" s="320"/>
      <c r="H292" s="299"/>
      <c r="L292" s="248">
        <v>3</v>
      </c>
      <c r="O292" s="323" t="e">
        <f>D292/#REF!</f>
        <v>#REF!</v>
      </c>
    </row>
    <row r="293" spans="1:15" ht="15" customHeight="1">
      <c r="A293" s="132" t="s">
        <v>72</v>
      </c>
      <c r="B293" s="251" t="s">
        <v>73</v>
      </c>
      <c r="C293" s="126" t="s">
        <v>344</v>
      </c>
      <c r="D293" s="274">
        <v>65.654298642533945</v>
      </c>
      <c r="E293" s="325">
        <v>9.1199999999999992</v>
      </c>
      <c r="F293" s="321"/>
      <c r="G293" s="320"/>
      <c r="H293" s="299"/>
      <c r="L293" s="248">
        <v>3</v>
      </c>
      <c r="O293" s="323" t="e">
        <f>D293/#REF!</f>
        <v>#REF!</v>
      </c>
    </row>
    <row r="294" spans="1:15" ht="15" customHeight="1">
      <c r="A294" s="132" t="s">
        <v>74</v>
      </c>
      <c r="B294" s="251" t="s">
        <v>75</v>
      </c>
      <c r="C294" s="126" t="s">
        <v>344</v>
      </c>
      <c r="D294" s="274">
        <v>37.859504132231407</v>
      </c>
      <c r="E294" s="325">
        <v>3.33</v>
      </c>
      <c r="F294" s="321"/>
      <c r="G294" s="320"/>
      <c r="H294" s="299"/>
      <c r="L294" s="248">
        <v>3</v>
      </c>
      <c r="O294" s="323" t="e">
        <f>D294/#REF!</f>
        <v>#REF!</v>
      </c>
    </row>
    <row r="295" spans="1:15" ht="15" customHeight="1">
      <c r="A295" s="132" t="s">
        <v>1366</v>
      </c>
      <c r="B295" s="256" t="s">
        <v>1367</v>
      </c>
      <c r="C295" s="129" t="s">
        <v>174</v>
      </c>
      <c r="D295" s="274">
        <v>3.3669421487603306</v>
      </c>
      <c r="E295" s="325">
        <v>0.57999999999999996</v>
      </c>
      <c r="F295" s="321"/>
      <c r="G295" s="320"/>
      <c r="H295" s="299"/>
      <c r="O295" s="323" t="e">
        <f>D295/#REF!</f>
        <v>#REF!</v>
      </c>
    </row>
    <row r="296" spans="1:15" ht="15" customHeight="1">
      <c r="A296" s="132" t="s">
        <v>77</v>
      </c>
      <c r="B296" s="251" t="s">
        <v>175</v>
      </c>
      <c r="C296" s="126" t="s">
        <v>174</v>
      </c>
      <c r="D296" s="274">
        <v>94.63</v>
      </c>
      <c r="E296" s="325">
        <v>13.38</v>
      </c>
      <c r="F296" s="321"/>
      <c r="G296" s="320"/>
      <c r="H296" s="299" t="s">
        <v>1198</v>
      </c>
      <c r="L296" s="248">
        <v>1</v>
      </c>
      <c r="O296" s="323" t="e">
        <f>D296/#REF!</f>
        <v>#REF!</v>
      </c>
    </row>
    <row r="297" spans="1:15" ht="15" customHeight="1">
      <c r="A297" s="132" t="s">
        <v>146</v>
      </c>
      <c r="B297" s="251" t="s">
        <v>76</v>
      </c>
      <c r="C297" s="126" t="s">
        <v>174</v>
      </c>
      <c r="D297" s="274">
        <v>75.030247933884311</v>
      </c>
      <c r="E297" s="325">
        <v>13.88</v>
      </c>
      <c r="F297" s="321"/>
      <c r="G297" s="320"/>
      <c r="H297" s="299" t="s">
        <v>1198</v>
      </c>
      <c r="L297" s="248">
        <v>1</v>
      </c>
      <c r="O297" s="323" t="e">
        <f>D297/#REF!</f>
        <v>#REF!</v>
      </c>
    </row>
    <row r="298" spans="1:15" ht="15" customHeight="1">
      <c r="A298" s="132" t="s">
        <v>1729</v>
      </c>
      <c r="B298" s="251" t="s">
        <v>1947</v>
      </c>
      <c r="C298" s="126" t="s">
        <v>174</v>
      </c>
      <c r="D298" s="274">
        <v>175.16528925619835</v>
      </c>
      <c r="E298" s="353">
        <v>21.74</v>
      </c>
      <c r="F298" s="321"/>
      <c r="G298" s="320"/>
      <c r="H298" s="299" t="s">
        <v>1117</v>
      </c>
      <c r="L298" s="248">
        <v>2</v>
      </c>
      <c r="O298" s="323" t="e">
        <f>D298/#REF!</f>
        <v>#REF!</v>
      </c>
    </row>
    <row r="299" spans="1:15" ht="15" customHeight="1">
      <c r="A299" s="132" t="s">
        <v>1728</v>
      </c>
      <c r="B299" s="251" t="s">
        <v>1948</v>
      </c>
      <c r="C299" s="126" t="s">
        <v>174</v>
      </c>
      <c r="D299" s="274">
        <v>300.57851239669424</v>
      </c>
      <c r="E299" s="353">
        <v>34.36</v>
      </c>
      <c r="F299" s="321"/>
      <c r="G299" s="320"/>
      <c r="H299" s="299"/>
      <c r="L299" s="248">
        <v>2</v>
      </c>
      <c r="O299" s="323" t="e">
        <f>D299/#REF!</f>
        <v>#REF!</v>
      </c>
    </row>
    <row r="300" spans="1:15" ht="15" customHeight="1">
      <c r="A300" s="132" t="s">
        <v>150</v>
      </c>
      <c r="B300" s="251" t="s">
        <v>104</v>
      </c>
      <c r="C300" s="126" t="s">
        <v>1749</v>
      </c>
      <c r="D300" s="274">
        <v>6.42</v>
      </c>
      <c r="E300" s="325">
        <v>0.83</v>
      </c>
      <c r="F300" s="321"/>
      <c r="G300" s="320"/>
      <c r="H300" s="299" t="s">
        <v>1187</v>
      </c>
      <c r="L300" s="248">
        <v>2</v>
      </c>
      <c r="O300" s="323" t="e">
        <f>D300/#REF!</f>
        <v>#REF!</v>
      </c>
    </row>
    <row r="301" spans="1:15" ht="15" customHeight="1">
      <c r="A301" s="230" t="s">
        <v>152</v>
      </c>
      <c r="B301" s="256" t="s">
        <v>105</v>
      </c>
      <c r="C301" s="129" t="s">
        <v>1749</v>
      </c>
      <c r="D301" s="274">
        <v>26.764799999999997</v>
      </c>
      <c r="E301" s="325">
        <v>3.84</v>
      </c>
      <c r="F301" s="321"/>
      <c r="G301" s="320"/>
      <c r="H301" s="299" t="s">
        <v>1187</v>
      </c>
      <c r="L301" s="248">
        <v>1</v>
      </c>
      <c r="O301" s="323" t="e">
        <f>D301/#REF!</f>
        <v>#REF!</v>
      </c>
    </row>
    <row r="302" spans="1:15" ht="15" customHeight="1">
      <c r="A302" s="230" t="s">
        <v>153</v>
      </c>
      <c r="B302" s="256" t="s">
        <v>106</v>
      </c>
      <c r="C302" s="129" t="s">
        <v>1749</v>
      </c>
      <c r="D302" s="274">
        <v>44.533200000000001</v>
      </c>
      <c r="E302" s="325">
        <v>5.46</v>
      </c>
      <c r="F302" s="321"/>
      <c r="G302" s="320"/>
      <c r="H302" s="299" t="s">
        <v>1187</v>
      </c>
      <c r="L302" s="248">
        <v>1</v>
      </c>
      <c r="O302" s="323" t="e">
        <f>D302/#REF!</f>
        <v>#REF!</v>
      </c>
    </row>
    <row r="303" spans="1:15" ht="15" customHeight="1">
      <c r="A303" s="230" t="s">
        <v>154</v>
      </c>
      <c r="B303" s="256" t="s">
        <v>107</v>
      </c>
      <c r="C303" s="129" t="s">
        <v>174</v>
      </c>
      <c r="D303" s="274">
        <v>48.776400000000002</v>
      </c>
      <c r="E303" s="325">
        <v>25.71</v>
      </c>
      <c r="F303" s="321"/>
      <c r="G303" s="320"/>
      <c r="H303" s="299" t="s">
        <v>1187</v>
      </c>
      <c r="L303" s="248">
        <v>1</v>
      </c>
      <c r="O303" s="323" t="e">
        <f>D303/#REF!</f>
        <v>#REF!</v>
      </c>
    </row>
    <row r="304" spans="1:15" ht="15" customHeight="1">
      <c r="A304" s="230" t="s">
        <v>155</v>
      </c>
      <c r="B304" s="256" t="s">
        <v>108</v>
      </c>
      <c r="C304" s="129" t="s">
        <v>174</v>
      </c>
      <c r="D304" s="274">
        <v>73.521600000000007</v>
      </c>
      <c r="E304" s="325">
        <v>39.01</v>
      </c>
      <c r="F304" s="321"/>
      <c r="G304" s="320"/>
      <c r="H304" s="299" t="s">
        <v>1187</v>
      </c>
      <c r="L304" s="248">
        <v>1</v>
      </c>
      <c r="O304" s="323" t="e">
        <f>D304/#REF!</f>
        <v>#REF!</v>
      </c>
    </row>
    <row r="305" spans="1:15" ht="15" customHeight="1">
      <c r="A305" s="230" t="s">
        <v>156</v>
      </c>
      <c r="B305" s="256" t="s">
        <v>109</v>
      </c>
      <c r="C305" s="129" t="s">
        <v>174</v>
      </c>
      <c r="D305" s="274">
        <v>197.06590400000002</v>
      </c>
      <c r="E305" s="325">
        <v>66.88</v>
      </c>
      <c r="F305" s="321"/>
      <c r="G305" s="320"/>
      <c r="H305" s="299" t="s">
        <v>1187</v>
      </c>
      <c r="O305" s="323" t="e">
        <f>D305/#REF!</f>
        <v>#REF!</v>
      </c>
    </row>
    <row r="306" spans="1:15" ht="15" customHeight="1">
      <c r="A306" s="132" t="s">
        <v>159</v>
      </c>
      <c r="B306" s="251" t="s">
        <v>110</v>
      </c>
      <c r="C306" s="126" t="s">
        <v>174</v>
      </c>
      <c r="D306" s="274">
        <v>1812.8</v>
      </c>
      <c r="E306" s="325">
        <v>514.47</v>
      </c>
      <c r="F306" s="321"/>
      <c r="G306" s="320"/>
      <c r="H306" s="299" t="s">
        <v>1187</v>
      </c>
      <c r="L306" s="248">
        <v>1</v>
      </c>
      <c r="O306" s="323" t="e">
        <f>D306/#REF!</f>
        <v>#REF!</v>
      </c>
    </row>
    <row r="307" spans="1:15" ht="15" customHeight="1">
      <c r="A307" s="132" t="s">
        <v>194</v>
      </c>
      <c r="B307" s="251" t="s">
        <v>111</v>
      </c>
      <c r="C307" s="126" t="s">
        <v>174</v>
      </c>
      <c r="D307" s="274">
        <v>165.28925619834712</v>
      </c>
      <c r="E307" s="325">
        <v>17.577200000000001</v>
      </c>
      <c r="F307" s="321"/>
      <c r="G307" s="320"/>
      <c r="H307" s="299" t="s">
        <v>1187</v>
      </c>
      <c r="L307" s="248">
        <v>2</v>
      </c>
      <c r="O307" s="323" t="e">
        <f>D307/#REF!</f>
        <v>#REF!</v>
      </c>
    </row>
    <row r="308" spans="1:15" ht="15" customHeight="1">
      <c r="A308" s="132" t="s">
        <v>148</v>
      </c>
      <c r="B308" s="251" t="s">
        <v>103</v>
      </c>
      <c r="C308" s="126" t="s">
        <v>174</v>
      </c>
      <c r="D308" s="274">
        <v>893.50430730000005</v>
      </c>
      <c r="E308" s="325">
        <v>361.75</v>
      </c>
      <c r="F308" s="321"/>
      <c r="G308" s="320"/>
      <c r="H308" s="299" t="s">
        <v>1187</v>
      </c>
      <c r="L308" s="248">
        <v>1</v>
      </c>
      <c r="O308" s="323" t="e">
        <f>D308/#REF!</f>
        <v>#REF!</v>
      </c>
    </row>
    <row r="309" spans="1:15" ht="15" customHeight="1">
      <c r="A309" s="210" t="s">
        <v>1964</v>
      </c>
      <c r="B309" s="251" t="s">
        <v>86</v>
      </c>
      <c r="C309" s="126" t="s">
        <v>1749</v>
      </c>
      <c r="D309" s="274">
        <v>113.54988024000002</v>
      </c>
      <c r="E309" s="325">
        <v>14.49</v>
      </c>
      <c r="F309" s="321"/>
      <c r="G309" s="320"/>
      <c r="H309" s="299" t="s">
        <v>1187</v>
      </c>
      <c r="L309" s="248">
        <v>1</v>
      </c>
      <c r="O309" s="323" t="e">
        <f>D309/#REF!</f>
        <v>#REF!</v>
      </c>
    </row>
    <row r="310" spans="1:15" ht="15" customHeight="1">
      <c r="A310" s="132" t="s">
        <v>294</v>
      </c>
      <c r="B310" s="251" t="s">
        <v>277</v>
      </c>
      <c r="C310" s="126" t="s">
        <v>174</v>
      </c>
      <c r="D310" s="274">
        <v>4827.3727680000002</v>
      </c>
      <c r="E310" s="325">
        <v>179</v>
      </c>
      <c r="F310" s="321"/>
      <c r="G310" s="320"/>
      <c r="H310" s="299" t="s">
        <v>1118</v>
      </c>
      <c r="L310" s="248">
        <v>1</v>
      </c>
      <c r="O310" s="323" t="e">
        <f>D310/#REF!</f>
        <v>#REF!</v>
      </c>
    </row>
    <row r="311" spans="1:15" ht="15" customHeight="1">
      <c r="A311" s="132" t="s">
        <v>295</v>
      </c>
      <c r="B311" s="251" t="s">
        <v>317</v>
      </c>
      <c r="C311" s="126" t="s">
        <v>174</v>
      </c>
      <c r="D311" s="274">
        <v>4775.0276735999996</v>
      </c>
      <c r="E311" s="325">
        <v>158</v>
      </c>
      <c r="F311" s="321"/>
      <c r="G311" s="320"/>
      <c r="H311" s="299"/>
      <c r="L311" s="248">
        <v>1</v>
      </c>
      <c r="O311" s="323" t="e">
        <f>D311/#REF!</f>
        <v>#REF!</v>
      </c>
    </row>
    <row r="312" spans="1:15" ht="15" customHeight="1">
      <c r="A312" s="132" t="s">
        <v>296</v>
      </c>
      <c r="B312" s="251" t="s">
        <v>283</v>
      </c>
      <c r="C312" s="126" t="s">
        <v>174</v>
      </c>
      <c r="D312" s="274">
        <v>18938.919999999998</v>
      </c>
      <c r="E312" s="325">
        <v>1120</v>
      </c>
      <c r="F312" s="321"/>
      <c r="G312" s="320"/>
      <c r="H312" s="299"/>
      <c r="L312" s="248">
        <v>1</v>
      </c>
      <c r="O312" s="323" t="e">
        <f>D312/#REF!</f>
        <v>#REF!</v>
      </c>
    </row>
    <row r="313" spans="1:15" ht="15" customHeight="1">
      <c r="A313" s="132" t="s">
        <v>297</v>
      </c>
      <c r="B313" s="251" t="s">
        <v>286</v>
      </c>
      <c r="C313" s="126" t="s">
        <v>174</v>
      </c>
      <c r="D313" s="274">
        <v>16286.47704</v>
      </c>
      <c r="E313" s="325">
        <v>858</v>
      </c>
      <c r="F313" s="321"/>
      <c r="G313" s="320"/>
      <c r="H313" s="299"/>
      <c r="L313" s="248">
        <v>1</v>
      </c>
      <c r="O313" s="323" t="e">
        <f>D313/#REF!</f>
        <v>#REF!</v>
      </c>
    </row>
    <row r="314" spans="1:15" ht="15" customHeight="1">
      <c r="A314" s="210" t="s">
        <v>851</v>
      </c>
      <c r="B314" s="251" t="s">
        <v>304</v>
      </c>
      <c r="C314" s="126" t="s">
        <v>174</v>
      </c>
      <c r="D314" s="274">
        <v>347.93793202500007</v>
      </c>
      <c r="E314" s="325">
        <v>198</v>
      </c>
      <c r="F314" s="321"/>
      <c r="G314" s="320"/>
      <c r="H314" s="299"/>
      <c r="L314" s="248">
        <v>1</v>
      </c>
      <c r="O314" s="323" t="e">
        <f>D314/#REF!</f>
        <v>#REF!</v>
      </c>
    </row>
    <row r="315" spans="1:15" ht="15" customHeight="1">
      <c r="A315" s="210" t="s">
        <v>854</v>
      </c>
      <c r="B315" s="251" t="s">
        <v>278</v>
      </c>
      <c r="C315" s="126" t="s">
        <v>174</v>
      </c>
      <c r="D315" s="274">
        <v>764.89351949999991</v>
      </c>
      <c r="E315" s="325">
        <v>252</v>
      </c>
      <c r="F315" s="321"/>
      <c r="G315" s="349"/>
      <c r="H315" s="299" t="s">
        <v>1164</v>
      </c>
      <c r="K315" s="283"/>
      <c r="L315" s="248">
        <v>2</v>
      </c>
      <c r="O315" s="323" t="e">
        <f>D315/#REF!</f>
        <v>#REF!</v>
      </c>
    </row>
    <row r="316" spans="1:15" ht="15" customHeight="1">
      <c r="A316" s="210" t="s">
        <v>855</v>
      </c>
      <c r="B316" s="251" t="s">
        <v>279</v>
      </c>
      <c r="C316" s="126" t="s">
        <v>1749</v>
      </c>
      <c r="D316" s="274">
        <v>101.03701698749997</v>
      </c>
      <c r="E316" s="325">
        <v>8.8759999999999994</v>
      </c>
      <c r="F316" s="321"/>
      <c r="G316" s="349"/>
      <c r="H316" s="299"/>
      <c r="K316" s="283"/>
      <c r="L316" s="248">
        <v>2</v>
      </c>
      <c r="O316" s="323" t="e">
        <f>D316/#REF!</f>
        <v>#REF!</v>
      </c>
    </row>
    <row r="317" spans="1:15" ht="15" customHeight="1">
      <c r="A317" s="210" t="s">
        <v>856</v>
      </c>
      <c r="B317" s="251" t="s">
        <v>289</v>
      </c>
      <c r="C317" s="126" t="s">
        <v>1749</v>
      </c>
      <c r="D317" s="274">
        <v>31.126529444999996</v>
      </c>
      <c r="E317" s="325">
        <v>2.843</v>
      </c>
      <c r="F317" s="321"/>
      <c r="G317" s="349"/>
      <c r="H317" s="299"/>
      <c r="K317" s="283"/>
      <c r="L317" s="248">
        <v>2</v>
      </c>
      <c r="O317" s="323" t="e">
        <f>D317/#REF!</f>
        <v>#REF!</v>
      </c>
    </row>
    <row r="318" spans="1:15" ht="15" customHeight="1">
      <c r="A318" s="210" t="s">
        <v>857</v>
      </c>
      <c r="B318" s="251" t="s">
        <v>303</v>
      </c>
      <c r="C318" s="126" t="s">
        <v>1749</v>
      </c>
      <c r="D318" s="274">
        <v>16.481292134999997</v>
      </c>
      <c r="E318" s="325">
        <v>2.2313999999999998</v>
      </c>
      <c r="F318" s="321"/>
      <c r="G318" s="349"/>
      <c r="H318" s="299"/>
      <c r="K318" s="283"/>
      <c r="L318" s="248">
        <v>2</v>
      </c>
      <c r="O318" s="323" t="e">
        <f>D318/#REF!</f>
        <v>#REF!</v>
      </c>
    </row>
    <row r="319" spans="1:15" ht="15" customHeight="1">
      <c r="A319" s="210" t="s">
        <v>858</v>
      </c>
      <c r="B319" s="251" t="s">
        <v>318</v>
      </c>
      <c r="C319" s="126" t="s">
        <v>1749</v>
      </c>
      <c r="D319" s="274">
        <v>98.22002024999999</v>
      </c>
      <c r="E319" s="325">
        <v>16.446300000000001</v>
      </c>
      <c r="F319" s="321"/>
      <c r="G319" s="349"/>
      <c r="H319" s="299"/>
      <c r="K319" s="283"/>
      <c r="L319" s="248">
        <v>2</v>
      </c>
      <c r="O319" s="323" t="e">
        <f>D319/#REF!</f>
        <v>#REF!</v>
      </c>
    </row>
    <row r="320" spans="1:15" ht="15" customHeight="1">
      <c r="A320" s="210" t="s">
        <v>859</v>
      </c>
      <c r="B320" s="251" t="s">
        <v>305</v>
      </c>
      <c r="C320" s="126" t="s">
        <v>1749</v>
      </c>
      <c r="D320" s="274">
        <v>64.539791249999979</v>
      </c>
      <c r="E320" s="325">
        <v>7.7521000000000004</v>
      </c>
      <c r="F320" s="321"/>
      <c r="G320" s="349"/>
      <c r="H320" s="299"/>
      <c r="K320" s="283"/>
      <c r="L320" s="248">
        <v>2</v>
      </c>
      <c r="O320" s="323" t="e">
        <f>D320/#REF!</f>
        <v>#REF!</v>
      </c>
    </row>
    <row r="321" spans="1:17" ht="15" customHeight="1">
      <c r="A321" s="210" t="s">
        <v>860</v>
      </c>
      <c r="B321" s="251" t="s">
        <v>290</v>
      </c>
      <c r="C321" s="126" t="s">
        <v>174</v>
      </c>
      <c r="D321" s="274">
        <v>81.176277599999992</v>
      </c>
      <c r="E321" s="325">
        <v>8.9338999999999995</v>
      </c>
      <c r="F321" s="321"/>
      <c r="G321" s="349"/>
      <c r="H321" s="299"/>
      <c r="K321" s="283"/>
      <c r="L321" s="248">
        <v>2</v>
      </c>
      <c r="O321" s="323" t="e">
        <f>D321/#REF!</f>
        <v>#REF!</v>
      </c>
    </row>
    <row r="322" spans="1:17" ht="15" customHeight="1">
      <c r="A322" s="132" t="s">
        <v>298</v>
      </c>
      <c r="B322" s="251" t="s">
        <v>280</v>
      </c>
      <c r="C322" s="126" t="s">
        <v>174</v>
      </c>
      <c r="D322" s="274">
        <v>107587.13629158982</v>
      </c>
      <c r="E322" s="325">
        <v>10000</v>
      </c>
      <c r="F322" s="321"/>
      <c r="G322" s="320"/>
      <c r="H322" s="322" t="s">
        <v>1209</v>
      </c>
      <c r="L322" s="248">
        <v>1</v>
      </c>
      <c r="O322" s="323" t="e">
        <f>D322/#REF!</f>
        <v>#REF!</v>
      </c>
    </row>
    <row r="323" spans="1:17" ht="15" customHeight="1">
      <c r="A323" s="132" t="s">
        <v>299</v>
      </c>
      <c r="B323" s="251" t="s">
        <v>293</v>
      </c>
      <c r="C323" s="126" t="s">
        <v>174</v>
      </c>
      <c r="D323" s="274">
        <v>2624.2590158399998</v>
      </c>
      <c r="E323" s="325">
        <v>277.39999999999998</v>
      </c>
      <c r="F323" s="354"/>
      <c r="G323" s="320"/>
      <c r="H323" s="299" t="s">
        <v>1208</v>
      </c>
      <c r="L323" s="248">
        <v>1</v>
      </c>
      <c r="O323" s="323" t="e">
        <f>D323/#REF!</f>
        <v>#REF!</v>
      </c>
    </row>
    <row r="324" spans="1:17" ht="15" customHeight="1">
      <c r="A324" s="210" t="s">
        <v>861</v>
      </c>
      <c r="B324" s="251" t="s">
        <v>306</v>
      </c>
      <c r="C324" s="126" t="s">
        <v>174</v>
      </c>
      <c r="D324" s="274">
        <v>179.95223729999998</v>
      </c>
      <c r="E324" s="325">
        <v>49.7273</v>
      </c>
      <c r="F324" s="321"/>
      <c r="G324" s="349"/>
      <c r="H324" s="299" t="s">
        <v>1174</v>
      </c>
      <c r="L324" s="248">
        <v>2</v>
      </c>
      <c r="O324" s="323" t="e">
        <f>D324/#REF!</f>
        <v>#REF!</v>
      </c>
    </row>
    <row r="325" spans="1:17" ht="15" customHeight="1">
      <c r="A325" s="210" t="s">
        <v>862</v>
      </c>
      <c r="B325" s="251" t="s">
        <v>284</v>
      </c>
      <c r="C325" s="126" t="s">
        <v>174</v>
      </c>
      <c r="D325" s="274">
        <v>1316.1567012000003</v>
      </c>
      <c r="E325" s="325">
        <v>156.1157</v>
      </c>
      <c r="F325" s="321"/>
      <c r="G325" s="349"/>
      <c r="H325" s="299"/>
      <c r="L325" s="248">
        <v>2</v>
      </c>
      <c r="O325" s="323" t="e">
        <f>D325/#REF!</f>
        <v>#REF!</v>
      </c>
    </row>
    <row r="326" spans="1:17" ht="15" customHeight="1">
      <c r="A326" s="210" t="s">
        <v>863</v>
      </c>
      <c r="B326" s="251" t="s">
        <v>307</v>
      </c>
      <c r="C326" s="126" t="s">
        <v>174</v>
      </c>
      <c r="D326" s="274">
        <v>164.65315775999997</v>
      </c>
      <c r="E326" s="325">
        <v>12.5207</v>
      </c>
      <c r="F326" s="321"/>
      <c r="G326" s="349"/>
      <c r="H326" s="299"/>
      <c r="L326" s="248">
        <v>2</v>
      </c>
      <c r="O326" s="323" t="e">
        <f>D326/#REF!</f>
        <v>#REF!</v>
      </c>
    </row>
    <row r="327" spans="1:17" ht="15" customHeight="1">
      <c r="A327" s="132"/>
      <c r="B327" s="251"/>
      <c r="C327" s="126"/>
      <c r="D327" s="274"/>
      <c r="E327" s="325">
        <v>49.297499999999999</v>
      </c>
      <c r="F327" s="321"/>
      <c r="G327" s="349"/>
      <c r="H327" s="299"/>
      <c r="L327" s="248">
        <v>2</v>
      </c>
      <c r="O327" s="323" t="e">
        <f>D327/#REF!</f>
        <v>#REF!</v>
      </c>
      <c r="Q327" s="408" t="s">
        <v>1966</v>
      </c>
    </row>
    <row r="328" spans="1:17" ht="15" customHeight="1">
      <c r="A328" s="210" t="s">
        <v>864</v>
      </c>
      <c r="B328" s="251" t="s">
        <v>308</v>
      </c>
      <c r="C328" s="126" t="s">
        <v>174</v>
      </c>
      <c r="D328" s="274">
        <v>2181.5100570760005</v>
      </c>
      <c r="E328" s="325">
        <v>114.7521</v>
      </c>
      <c r="F328" s="321"/>
      <c r="G328" s="349"/>
      <c r="H328" s="299"/>
      <c r="L328" s="248">
        <v>2</v>
      </c>
      <c r="O328" s="323" t="e">
        <f>D328/#REF!</f>
        <v>#REF!</v>
      </c>
    </row>
    <row r="329" spans="1:17" ht="15" customHeight="1">
      <c r="A329" s="210" t="s">
        <v>865</v>
      </c>
      <c r="B329" s="251" t="s">
        <v>309</v>
      </c>
      <c r="C329" s="126" t="s">
        <v>174</v>
      </c>
      <c r="D329" s="274">
        <v>2341.1993279999997</v>
      </c>
      <c r="E329" s="325">
        <v>156.25620000000001</v>
      </c>
      <c r="F329" s="321"/>
      <c r="G329" s="349"/>
      <c r="H329" s="299"/>
      <c r="L329" s="248">
        <v>2</v>
      </c>
      <c r="O329" s="323" t="e">
        <f>D329/#REF!</f>
        <v>#REF!</v>
      </c>
    </row>
    <row r="330" spans="1:17" ht="15" customHeight="1">
      <c r="A330" s="210" t="s">
        <v>867</v>
      </c>
      <c r="B330" s="251" t="s">
        <v>287</v>
      </c>
      <c r="C330" s="126" t="s">
        <v>174</v>
      </c>
      <c r="D330" s="274">
        <v>744.55094999999994</v>
      </c>
      <c r="E330" s="325">
        <v>21.3719</v>
      </c>
      <c r="F330" s="321"/>
      <c r="G330" s="349"/>
      <c r="H330" s="299"/>
      <c r="L330" s="248">
        <v>2</v>
      </c>
      <c r="O330" s="323" t="e">
        <f>D330/#REF!</f>
        <v>#REF!</v>
      </c>
    </row>
    <row r="331" spans="1:17" ht="15" customHeight="1">
      <c r="A331" s="210" t="s">
        <v>868</v>
      </c>
      <c r="B331" s="251" t="s">
        <v>288</v>
      </c>
      <c r="C331" s="126" t="s">
        <v>174</v>
      </c>
      <c r="D331" s="274">
        <v>1365.4078698000001</v>
      </c>
      <c r="E331" s="325">
        <v>9.4876000000000005</v>
      </c>
      <c r="F331" s="321"/>
      <c r="G331" s="349"/>
      <c r="H331" s="299"/>
      <c r="L331" s="248">
        <v>2</v>
      </c>
      <c r="O331" s="323" t="e">
        <f>D331/#REF!</f>
        <v>#REF!</v>
      </c>
    </row>
    <row r="332" spans="1:17" ht="15" customHeight="1">
      <c r="A332" s="132" t="s">
        <v>300</v>
      </c>
      <c r="B332" s="251" t="s">
        <v>316</v>
      </c>
      <c r="C332" s="126" t="s">
        <v>343</v>
      </c>
      <c r="D332" s="274">
        <v>16.410319470000001</v>
      </c>
      <c r="E332" s="325">
        <v>3.39</v>
      </c>
      <c r="F332" s="321"/>
      <c r="G332" s="349"/>
      <c r="H332" s="299"/>
      <c r="L332" s="248">
        <v>2</v>
      </c>
      <c r="O332" s="323" t="e">
        <f>D332/#REF!</f>
        <v>#REF!</v>
      </c>
    </row>
    <row r="333" spans="1:17" ht="15" customHeight="1">
      <c r="A333" s="132" t="s">
        <v>191</v>
      </c>
      <c r="B333" s="251" t="s">
        <v>216</v>
      </c>
      <c r="C333" s="126" t="s">
        <v>174</v>
      </c>
      <c r="D333" s="274">
        <v>62.247933884297517</v>
      </c>
      <c r="E333" s="325">
        <v>18.9008</v>
      </c>
      <c r="F333" s="321"/>
      <c r="G333" s="320"/>
      <c r="H333" s="299"/>
      <c r="L333" s="248">
        <v>1</v>
      </c>
      <c r="O333" s="323" t="e">
        <f>D333/#REF!</f>
        <v>#REF!</v>
      </c>
    </row>
    <row r="334" spans="1:17" ht="15" customHeight="1">
      <c r="A334" s="132" t="s">
        <v>217</v>
      </c>
      <c r="B334" s="251" t="s">
        <v>218</v>
      </c>
      <c r="C334" s="126" t="s">
        <v>174</v>
      </c>
      <c r="D334" s="274">
        <v>62.247933884297517</v>
      </c>
      <c r="E334" s="325">
        <v>18.9008</v>
      </c>
      <c r="F334" s="321"/>
      <c r="G334" s="320"/>
      <c r="H334" s="299"/>
      <c r="L334" s="248">
        <v>1</v>
      </c>
      <c r="O334" s="323" t="e">
        <f>D334/#REF!</f>
        <v>#REF!</v>
      </c>
    </row>
    <row r="335" spans="1:17" ht="15" customHeight="1">
      <c r="A335" s="132" t="s">
        <v>147</v>
      </c>
      <c r="B335" s="251" t="s">
        <v>97</v>
      </c>
      <c r="C335" s="126" t="s">
        <v>1749</v>
      </c>
      <c r="D335" s="274">
        <v>7.8620414999999992</v>
      </c>
      <c r="E335" s="325">
        <v>1.3553999999999999</v>
      </c>
      <c r="F335" s="321"/>
      <c r="G335" s="320"/>
      <c r="H335" s="299"/>
      <c r="L335" s="248">
        <v>1</v>
      </c>
      <c r="O335" s="323" t="e">
        <f>D335/#REF!</f>
        <v>#REF!</v>
      </c>
    </row>
    <row r="336" spans="1:17" ht="15" customHeight="1">
      <c r="A336" s="132" t="s">
        <v>149</v>
      </c>
      <c r="B336" s="251" t="s">
        <v>98</v>
      </c>
      <c r="C336" s="126" t="s">
        <v>1749</v>
      </c>
      <c r="D336" s="274">
        <v>30.687995099999995</v>
      </c>
      <c r="E336" s="325">
        <v>5.1322000000000001</v>
      </c>
      <c r="F336" s="321"/>
      <c r="G336" s="320"/>
      <c r="H336" s="299"/>
      <c r="L336" s="248">
        <v>1</v>
      </c>
      <c r="O336" s="323" t="e">
        <f>D336/#REF!</f>
        <v>#REF!</v>
      </c>
    </row>
    <row r="337" spans="1:17" ht="15" customHeight="1">
      <c r="A337" s="132" t="s">
        <v>151</v>
      </c>
      <c r="B337" s="251" t="s">
        <v>99</v>
      </c>
      <c r="C337" s="126" t="s">
        <v>1749</v>
      </c>
      <c r="D337" s="274">
        <v>48.734243999999997</v>
      </c>
      <c r="E337" s="325">
        <v>8.0991999999999997</v>
      </c>
      <c r="F337" s="321"/>
      <c r="G337" s="320"/>
      <c r="H337" s="299"/>
      <c r="L337" s="248">
        <v>1</v>
      </c>
      <c r="O337" s="323" t="e">
        <f>D337/#REF!</f>
        <v>#REF!</v>
      </c>
    </row>
    <row r="338" spans="1:17" ht="15" customHeight="1">
      <c r="A338" s="132"/>
      <c r="B338" s="251"/>
      <c r="C338" s="126"/>
      <c r="D338" s="274"/>
      <c r="E338" s="325">
        <v>91.876000000000005</v>
      </c>
      <c r="F338" s="321"/>
      <c r="G338" s="320"/>
      <c r="H338" s="299"/>
      <c r="L338" s="248">
        <v>1</v>
      </c>
      <c r="O338" s="323" t="e">
        <f>D338/#REF!</f>
        <v>#REF!</v>
      </c>
      <c r="Q338" s="408" t="s">
        <v>1966</v>
      </c>
    </row>
    <row r="339" spans="1:17" ht="15" customHeight="1">
      <c r="A339" s="132" t="s">
        <v>1266</v>
      </c>
      <c r="B339" s="251" t="s">
        <v>100</v>
      </c>
      <c r="C339" s="126" t="s">
        <v>174</v>
      </c>
      <c r="D339" s="274">
        <v>196.67768595041323</v>
      </c>
      <c r="E339" s="325">
        <v>77.396699999999996</v>
      </c>
      <c r="F339" s="321"/>
      <c r="G339" s="320"/>
      <c r="H339" s="299"/>
      <c r="L339" s="248">
        <v>1</v>
      </c>
      <c r="O339" s="323" t="e">
        <f>D339/#REF!</f>
        <v>#REF!</v>
      </c>
    </row>
    <row r="340" spans="1:17" ht="15" customHeight="1">
      <c r="A340" s="132" t="s">
        <v>157</v>
      </c>
      <c r="B340" s="251" t="s">
        <v>101</v>
      </c>
      <c r="C340" s="126" t="s">
        <v>174</v>
      </c>
      <c r="D340" s="274">
        <v>135.04906800000001</v>
      </c>
      <c r="E340" s="325">
        <v>40.504100000000001</v>
      </c>
      <c r="F340" s="321"/>
      <c r="G340" s="320"/>
      <c r="H340" s="299"/>
      <c r="L340" s="248">
        <v>1</v>
      </c>
      <c r="O340" s="323" t="e">
        <f>D340/#REF!</f>
        <v>#REF!</v>
      </c>
    </row>
    <row r="341" spans="1:17" ht="15" customHeight="1">
      <c r="A341" s="132" t="s">
        <v>158</v>
      </c>
      <c r="B341" s="251" t="s">
        <v>102</v>
      </c>
      <c r="C341" s="126" t="s">
        <v>174</v>
      </c>
      <c r="D341" s="274">
        <v>135.04906800000001</v>
      </c>
      <c r="E341" s="325">
        <v>40.504100000000001</v>
      </c>
      <c r="F341" s="321"/>
      <c r="G341" s="320"/>
      <c r="H341" s="299"/>
      <c r="L341" s="248">
        <v>1</v>
      </c>
      <c r="O341" s="323" t="e">
        <f>D341/#REF!</f>
        <v>#REF!</v>
      </c>
    </row>
    <row r="342" spans="1:17" ht="15" customHeight="1">
      <c r="A342" s="132" t="s">
        <v>1849</v>
      </c>
      <c r="B342" s="251" t="s">
        <v>219</v>
      </c>
      <c r="C342" s="126" t="s">
        <v>1876</v>
      </c>
      <c r="D342" s="274">
        <v>115.70247933884298</v>
      </c>
      <c r="E342" s="325">
        <v>18.0992</v>
      </c>
      <c r="F342" s="321"/>
      <c r="G342" s="320"/>
      <c r="H342" s="299" t="s">
        <v>1231</v>
      </c>
      <c r="L342" s="248">
        <v>1</v>
      </c>
      <c r="O342" s="323" t="e">
        <f>D342/#REF!</f>
        <v>#REF!</v>
      </c>
    </row>
    <row r="343" spans="1:17" ht="15" customHeight="1">
      <c r="A343" s="132"/>
      <c r="B343" s="251"/>
      <c r="C343" s="126"/>
      <c r="D343" s="274"/>
      <c r="E343" s="325">
        <v>210.16</v>
      </c>
      <c r="F343" s="321"/>
      <c r="G343" s="384"/>
      <c r="H343" s="331" t="s">
        <v>1119</v>
      </c>
      <c r="I343" s="248">
        <v>217.48599999999999</v>
      </c>
      <c r="L343" s="248">
        <v>1</v>
      </c>
      <c r="O343" s="323" t="e">
        <f>D343/#REF!</f>
        <v>#REF!</v>
      </c>
      <c r="Q343" s="408" t="s">
        <v>1966</v>
      </c>
    </row>
    <row r="344" spans="1:17" ht="15" customHeight="1">
      <c r="A344" s="132"/>
      <c r="B344" s="251"/>
      <c r="C344" s="126"/>
      <c r="D344" s="274"/>
      <c r="E344" s="325">
        <v>264.12</v>
      </c>
      <c r="F344" s="321"/>
      <c r="G344" s="320"/>
      <c r="H344" s="331" t="s">
        <v>1119</v>
      </c>
      <c r="I344" s="248">
        <v>273.327</v>
      </c>
      <c r="L344" s="248">
        <v>1</v>
      </c>
      <c r="O344" s="323" t="e">
        <f>D344/#REF!</f>
        <v>#REF!</v>
      </c>
      <c r="Q344" s="408" t="s">
        <v>1966</v>
      </c>
    </row>
    <row r="345" spans="1:17" ht="15" customHeight="1">
      <c r="A345" s="132"/>
      <c r="B345" s="251"/>
      <c r="C345" s="126"/>
      <c r="D345" s="274"/>
      <c r="E345" s="325">
        <v>627.64</v>
      </c>
      <c r="F345" s="321"/>
      <c r="G345" s="384"/>
      <c r="H345" s="331" t="s">
        <v>1119</v>
      </c>
      <c r="I345" s="248">
        <v>649.51900000000001</v>
      </c>
      <c r="L345" s="248">
        <v>1</v>
      </c>
      <c r="O345" s="323" t="e">
        <f>D345/#REF!</f>
        <v>#REF!</v>
      </c>
      <c r="Q345" s="408" t="s">
        <v>1966</v>
      </c>
    </row>
    <row r="346" spans="1:17" ht="15" customHeight="1">
      <c r="A346" s="132"/>
      <c r="B346" s="251"/>
      <c r="C346" s="126"/>
      <c r="D346" s="274"/>
      <c r="E346" s="325">
        <v>1056.48</v>
      </c>
      <c r="F346" s="321"/>
      <c r="G346" s="384"/>
      <c r="H346" s="331" t="s">
        <v>1119</v>
      </c>
      <c r="I346" s="248">
        <v>1093.308</v>
      </c>
      <c r="L346" s="248">
        <v>1</v>
      </c>
      <c r="O346" s="323" t="e">
        <f>D346/#REF!</f>
        <v>#REF!</v>
      </c>
      <c r="Q346" s="408" t="s">
        <v>1966</v>
      </c>
    </row>
    <row r="347" spans="1:17" ht="15" customHeight="1">
      <c r="A347" s="132"/>
      <c r="B347" s="251"/>
      <c r="C347" s="126"/>
      <c r="D347" s="274"/>
      <c r="E347" s="325">
        <v>1136</v>
      </c>
      <c r="F347" s="321"/>
      <c r="G347" s="384"/>
      <c r="H347" s="331" t="s">
        <v>1119</v>
      </c>
      <c r="I347" s="248">
        <v>1175.5999999999999</v>
      </c>
      <c r="L347" s="248">
        <v>1</v>
      </c>
      <c r="O347" s="323" t="e">
        <f>D347/#REF!</f>
        <v>#REF!</v>
      </c>
      <c r="Q347" s="408" t="s">
        <v>1966</v>
      </c>
    </row>
    <row r="348" spans="1:17" ht="15" customHeight="1">
      <c r="A348" s="132" t="s">
        <v>1056</v>
      </c>
      <c r="B348" s="251" t="s">
        <v>1057</v>
      </c>
      <c r="C348" s="126" t="s">
        <v>174</v>
      </c>
      <c r="D348" s="274">
        <v>1112.07</v>
      </c>
      <c r="E348" s="325">
        <v>195.185</v>
      </c>
      <c r="F348" s="354"/>
      <c r="G348" s="349"/>
      <c r="H348" s="331" t="s">
        <v>1120</v>
      </c>
      <c r="I348" s="248">
        <v>121.46</v>
      </c>
      <c r="L348" s="248">
        <v>1</v>
      </c>
      <c r="O348" s="323" t="e">
        <f>D348/#REF!</f>
        <v>#REF!</v>
      </c>
    </row>
    <row r="349" spans="1:17" ht="15" customHeight="1">
      <c r="A349" s="132" t="s">
        <v>1058</v>
      </c>
      <c r="B349" s="251" t="s">
        <v>1059</v>
      </c>
      <c r="C349" s="126" t="s">
        <v>174</v>
      </c>
      <c r="D349" s="274">
        <v>1417.13</v>
      </c>
      <c r="E349" s="325">
        <v>257.77</v>
      </c>
      <c r="F349" s="354"/>
      <c r="G349" s="349"/>
      <c r="H349" s="331" t="s">
        <v>1120</v>
      </c>
      <c r="I349" s="248">
        <v>163.9</v>
      </c>
      <c r="L349" s="248">
        <v>1</v>
      </c>
      <c r="O349" s="323" t="e">
        <f>D349/#REF!</f>
        <v>#REF!</v>
      </c>
    </row>
    <row r="350" spans="1:17" ht="15" customHeight="1">
      <c r="A350" s="132" t="s">
        <v>1060</v>
      </c>
      <c r="B350" s="251" t="s">
        <v>1061</v>
      </c>
      <c r="C350" s="126" t="s">
        <v>174</v>
      </c>
      <c r="D350" s="274">
        <v>1750.12</v>
      </c>
      <c r="E350" s="325">
        <v>312.57499999999999</v>
      </c>
      <c r="F350" s="354"/>
      <c r="G350" s="349"/>
      <c r="H350" s="331" t="s">
        <v>1120</v>
      </c>
      <c r="I350" s="248">
        <v>208.48</v>
      </c>
      <c r="L350" s="248">
        <v>1</v>
      </c>
      <c r="O350" s="323" t="e">
        <f>D350/#REF!</f>
        <v>#REF!</v>
      </c>
    </row>
    <row r="351" spans="1:17" ht="15" customHeight="1">
      <c r="A351" s="132" t="s">
        <v>1062</v>
      </c>
      <c r="B351" s="251" t="s">
        <v>1063</v>
      </c>
      <c r="C351" s="126" t="s">
        <v>174</v>
      </c>
      <c r="D351" s="274">
        <v>877.49</v>
      </c>
      <c r="E351" s="325">
        <v>163.94</v>
      </c>
      <c r="F351" s="354"/>
      <c r="G351" s="349"/>
      <c r="H351" s="331" t="s">
        <v>1120</v>
      </c>
      <c r="I351" s="248">
        <v>132.63</v>
      </c>
      <c r="L351" s="248">
        <v>1</v>
      </c>
      <c r="O351" s="323" t="e">
        <f>D351/#REF!</f>
        <v>#REF!</v>
      </c>
    </row>
    <row r="352" spans="1:17" ht="15" customHeight="1">
      <c r="A352" s="132" t="s">
        <v>1064</v>
      </c>
      <c r="B352" s="251" t="s">
        <v>1065</v>
      </c>
      <c r="C352" s="126" t="s">
        <v>1876</v>
      </c>
      <c r="D352" s="274">
        <v>12.099173553719009</v>
      </c>
      <c r="E352" s="325">
        <v>1.823</v>
      </c>
      <c r="F352" s="321"/>
      <c r="G352" s="384"/>
      <c r="H352" s="331" t="s">
        <v>1120</v>
      </c>
      <c r="I352" s="248">
        <v>1.91035</v>
      </c>
      <c r="L352" s="248">
        <v>1</v>
      </c>
      <c r="O352" s="323" t="e">
        <f>D352/#REF!</f>
        <v>#REF!</v>
      </c>
    </row>
    <row r="353" spans="1:17" ht="15" customHeight="1">
      <c r="A353" s="132" t="s">
        <v>1066</v>
      </c>
      <c r="B353" s="251" t="s">
        <v>1067</v>
      </c>
      <c r="C353" s="126" t="s">
        <v>174</v>
      </c>
      <c r="D353" s="274">
        <v>791.33181960000002</v>
      </c>
      <c r="E353" s="325">
        <v>35.39</v>
      </c>
      <c r="F353" s="321"/>
      <c r="G353" s="384"/>
      <c r="H353" s="331" t="s">
        <v>1121</v>
      </c>
      <c r="I353" s="248">
        <v>36.625648293963302</v>
      </c>
      <c r="L353" s="248">
        <v>1</v>
      </c>
      <c r="O353" s="323" t="e">
        <f>D353/#REF!</f>
        <v>#REF!</v>
      </c>
    </row>
    <row r="354" spans="1:17" ht="15" customHeight="1">
      <c r="A354" s="132" t="s">
        <v>1068</v>
      </c>
      <c r="B354" s="251" t="s">
        <v>1069</v>
      </c>
      <c r="C354" s="126" t="s">
        <v>174</v>
      </c>
      <c r="D354" s="274">
        <v>161.19189449999999</v>
      </c>
      <c r="E354" s="325">
        <v>50.1</v>
      </c>
      <c r="F354" s="321"/>
      <c r="G354" s="384"/>
      <c r="H354" s="331" t="s">
        <v>1121</v>
      </c>
      <c r="I354" s="248">
        <v>51.843960000000003</v>
      </c>
      <c r="L354" s="248">
        <v>1</v>
      </c>
      <c r="O354" s="323" t="e">
        <f>D354/#REF!</f>
        <v>#REF!</v>
      </c>
    </row>
    <row r="355" spans="1:17" ht="15" customHeight="1">
      <c r="A355" s="132"/>
      <c r="B355" s="251"/>
      <c r="C355" s="126"/>
      <c r="D355" s="274"/>
      <c r="E355" s="325">
        <v>110.76</v>
      </c>
      <c r="F355" s="321"/>
      <c r="G355" s="384"/>
      <c r="H355" s="331" t="s">
        <v>1121</v>
      </c>
      <c r="I355" s="248">
        <v>114.621</v>
      </c>
      <c r="L355" s="248">
        <v>1</v>
      </c>
      <c r="O355" s="323" t="e">
        <f>D355/#REF!</f>
        <v>#REF!</v>
      </c>
      <c r="Q355" s="408" t="s">
        <v>1966</v>
      </c>
    </row>
    <row r="356" spans="1:17" ht="15" customHeight="1">
      <c r="A356" s="132" t="s">
        <v>1070</v>
      </c>
      <c r="B356" s="251" t="s">
        <v>1071</v>
      </c>
      <c r="C356" s="126" t="s">
        <v>174</v>
      </c>
      <c r="D356" s="274">
        <v>119.83</v>
      </c>
      <c r="E356" s="325">
        <v>53.96</v>
      </c>
      <c r="F356" s="321"/>
      <c r="G356" s="384"/>
      <c r="H356" s="331" t="s">
        <v>1121</v>
      </c>
      <c r="I356" s="248">
        <v>55.841000000000001</v>
      </c>
      <c r="L356" s="248">
        <v>1</v>
      </c>
      <c r="O356" s="323" t="e">
        <f>D356/#REF!</f>
        <v>#REF!</v>
      </c>
    </row>
    <row r="357" spans="1:17" ht="15" customHeight="1">
      <c r="A357" s="132" t="s">
        <v>1072</v>
      </c>
      <c r="B357" s="209" t="s">
        <v>1488</v>
      </c>
      <c r="C357" s="126" t="s">
        <v>393</v>
      </c>
      <c r="D357" s="274">
        <v>6939</v>
      </c>
      <c r="E357" s="325">
        <v>785.8</v>
      </c>
      <c r="F357" s="321"/>
      <c r="G357" s="385"/>
      <c r="H357" s="322" t="s">
        <v>1235</v>
      </c>
      <c r="L357" s="248">
        <v>1</v>
      </c>
      <c r="O357" s="323" t="e">
        <f>D357/#REF!</f>
        <v>#REF!</v>
      </c>
      <c r="Q357" s="408" t="s">
        <v>1977</v>
      </c>
    </row>
    <row r="358" spans="1:17" ht="15" customHeight="1">
      <c r="A358" s="132" t="s">
        <v>1073</v>
      </c>
      <c r="B358" s="208" t="s">
        <v>1489</v>
      </c>
      <c r="C358" s="126" t="s">
        <v>393</v>
      </c>
      <c r="D358" s="274">
        <v>5409</v>
      </c>
      <c r="E358" s="325">
        <v>775.8</v>
      </c>
      <c r="F358" s="321"/>
      <c r="G358" s="385"/>
      <c r="H358" s="322" t="s">
        <v>1236</v>
      </c>
      <c r="L358" s="248">
        <v>1</v>
      </c>
      <c r="O358" s="323" t="e">
        <f>D358/#REF!</f>
        <v>#REF!</v>
      </c>
      <c r="Q358" s="408" t="s">
        <v>1977</v>
      </c>
    </row>
    <row r="359" spans="1:17" ht="15" customHeight="1">
      <c r="A359" s="132" t="s">
        <v>1074</v>
      </c>
      <c r="B359" s="251" t="s">
        <v>1075</v>
      </c>
      <c r="C359" s="126" t="s">
        <v>393</v>
      </c>
      <c r="D359" s="274">
        <v>4399.5465359999989</v>
      </c>
      <c r="E359" s="325">
        <v>825.8</v>
      </c>
      <c r="F359" s="321"/>
      <c r="G359" s="385"/>
      <c r="H359" s="322" t="s">
        <v>1237</v>
      </c>
      <c r="L359" s="248">
        <v>1</v>
      </c>
      <c r="O359" s="323" t="e">
        <f>D359/#REF!</f>
        <v>#REF!</v>
      </c>
    </row>
    <row r="360" spans="1:17" ht="15" customHeight="1">
      <c r="A360" s="132" t="s">
        <v>1076</v>
      </c>
      <c r="B360" s="251" t="s">
        <v>1077</v>
      </c>
      <c r="C360" s="126" t="s">
        <v>393</v>
      </c>
      <c r="D360" s="274">
        <v>6394.2436948995</v>
      </c>
      <c r="E360" s="325">
        <v>695.8</v>
      </c>
      <c r="F360" s="321"/>
      <c r="G360" s="385"/>
      <c r="H360" s="322" t="s">
        <v>1238</v>
      </c>
      <c r="L360" s="248">
        <v>1</v>
      </c>
      <c r="O360" s="323" t="e">
        <f>D360/#REF!</f>
        <v>#REF!</v>
      </c>
      <c r="Q360" s="408" t="s">
        <v>1977</v>
      </c>
    </row>
    <row r="361" spans="1:17" ht="15" customHeight="1">
      <c r="A361" s="132" t="s">
        <v>1078</v>
      </c>
      <c r="B361" s="251" t="s">
        <v>1079</v>
      </c>
      <c r="C361" s="126" t="s">
        <v>400</v>
      </c>
      <c r="D361" s="274">
        <v>7188.3275109170299</v>
      </c>
      <c r="E361" s="325">
        <v>482.8</v>
      </c>
      <c r="F361" s="321"/>
      <c r="G361" s="384"/>
      <c r="H361" s="331" t="s">
        <v>1122</v>
      </c>
      <c r="I361" s="248">
        <v>499.63</v>
      </c>
      <c r="L361" s="248">
        <v>1</v>
      </c>
      <c r="O361" s="323" t="e">
        <f>D361/#REF!</f>
        <v>#REF!</v>
      </c>
    </row>
    <row r="362" spans="1:17" ht="15" customHeight="1">
      <c r="A362" s="132" t="s">
        <v>1080</v>
      </c>
      <c r="B362" s="251" t="s">
        <v>1081</v>
      </c>
      <c r="C362" s="126" t="s">
        <v>1082</v>
      </c>
      <c r="D362" s="274">
        <v>0.3</v>
      </c>
      <c r="E362" s="325">
        <v>4.2999999999999997E-2</v>
      </c>
      <c r="F362" s="321"/>
      <c r="G362" s="384"/>
      <c r="H362" s="331" t="s">
        <v>1122</v>
      </c>
      <c r="I362" s="248">
        <v>4.4084999999999999E-2</v>
      </c>
      <c r="L362" s="248">
        <v>1</v>
      </c>
      <c r="O362" s="323" t="e">
        <f>D362/#REF!</f>
        <v>#REF!</v>
      </c>
    </row>
    <row r="363" spans="1:17" ht="15" customHeight="1">
      <c r="A363" s="132" t="s">
        <v>1083</v>
      </c>
      <c r="B363" s="251" t="s">
        <v>1171</v>
      </c>
      <c r="C363" s="126" t="s">
        <v>1876</v>
      </c>
      <c r="D363" s="274">
        <v>82.644628099173559</v>
      </c>
      <c r="E363" s="325">
        <v>29</v>
      </c>
      <c r="F363" s="321"/>
      <c r="G363" s="289"/>
      <c r="H363" s="331" t="s">
        <v>1123</v>
      </c>
      <c r="L363" s="248">
        <v>1</v>
      </c>
      <c r="O363" s="323" t="e">
        <f>D363/#REF!</f>
        <v>#REF!</v>
      </c>
    </row>
    <row r="364" spans="1:17" ht="15" customHeight="1">
      <c r="A364" s="132" t="s">
        <v>1084</v>
      </c>
      <c r="B364" s="166" t="s">
        <v>1490</v>
      </c>
      <c r="C364" s="126" t="s">
        <v>393</v>
      </c>
      <c r="D364" s="274">
        <v>9478.6923000000006</v>
      </c>
      <c r="E364" s="325">
        <v>799.4</v>
      </c>
      <c r="F364" s="321"/>
      <c r="G364" s="386"/>
      <c r="H364" s="331" t="s">
        <v>1179</v>
      </c>
      <c r="L364" s="248">
        <v>1</v>
      </c>
      <c r="O364" s="323" t="e">
        <f>D364/#REF!</f>
        <v>#REF!</v>
      </c>
    </row>
    <row r="365" spans="1:17" ht="15" customHeight="1">
      <c r="A365" s="132" t="s">
        <v>1085</v>
      </c>
      <c r="B365" s="251" t="s">
        <v>1086</v>
      </c>
      <c r="C365" s="126" t="s">
        <v>174</v>
      </c>
      <c r="D365" s="274">
        <v>82000</v>
      </c>
      <c r="E365" s="325">
        <v>21500</v>
      </c>
      <c r="F365" s="321"/>
      <c r="G365" s="289"/>
      <c r="H365" s="331" t="s">
        <v>1124</v>
      </c>
      <c r="L365" s="248">
        <v>1</v>
      </c>
      <c r="O365" s="323" t="e">
        <f>D365/#REF!</f>
        <v>#REF!</v>
      </c>
    </row>
    <row r="366" spans="1:17" ht="15" customHeight="1">
      <c r="A366" s="132" t="s">
        <v>1087</v>
      </c>
      <c r="B366" s="251" t="s">
        <v>1088</v>
      </c>
      <c r="C366" s="126" t="s">
        <v>174</v>
      </c>
      <c r="D366" s="274">
        <v>27362.726532974862</v>
      </c>
      <c r="E366" s="325">
        <v>3175</v>
      </c>
      <c r="F366" s="321"/>
      <c r="G366" s="289"/>
      <c r="H366" s="331" t="s">
        <v>1124</v>
      </c>
      <c r="K366" s="248">
        <f>K367/1.21</f>
        <v>20753.25</v>
      </c>
      <c r="L366" s="248">
        <v>1</v>
      </c>
      <c r="O366" s="323" t="e">
        <f>D366/#REF!</f>
        <v>#REF!</v>
      </c>
    </row>
    <row r="367" spans="1:17" ht="15" customHeight="1">
      <c r="A367" s="132" t="s">
        <v>1089</v>
      </c>
      <c r="B367" s="251" t="s">
        <v>1090</v>
      </c>
      <c r="C367" s="126" t="s">
        <v>1876</v>
      </c>
      <c r="D367" s="274">
        <v>2979.1525330952995</v>
      </c>
      <c r="E367" s="325">
        <v>360</v>
      </c>
      <c r="F367" s="321"/>
      <c r="G367" s="289"/>
      <c r="H367" s="331" t="s">
        <v>1124</v>
      </c>
      <c r="J367" s="387" t="s">
        <v>1181</v>
      </c>
      <c r="K367" s="248">
        <f>K368*E195</f>
        <v>25111.432499999999</v>
      </c>
      <c r="L367" s="248">
        <v>1</v>
      </c>
      <c r="O367" s="323" t="e">
        <f>D367/#REF!</f>
        <v>#REF!</v>
      </c>
    </row>
    <row r="368" spans="1:17" ht="15" customHeight="1">
      <c r="A368" s="132" t="s">
        <v>1091</v>
      </c>
      <c r="B368" s="251" t="s">
        <v>1092</v>
      </c>
      <c r="C368" s="126" t="s">
        <v>343</v>
      </c>
      <c r="D368" s="274">
        <v>102152.38</v>
      </c>
      <c r="E368" s="325">
        <v>22000</v>
      </c>
      <c r="F368" s="321"/>
      <c r="G368" s="384"/>
      <c r="H368" s="331" t="s">
        <v>1125</v>
      </c>
      <c r="I368" s="388"/>
      <c r="K368" s="248">
        <f>45.98+54.45+93.17+1300.75+895.4+240.79+114.95+114.95+1143.45+(33.88*12)+26.62+78.65+119.79+54.45+592.9+(18.15*6)+118.58+114.95+237.16+774.4+1875.5</f>
        <v>8512.3499999999985</v>
      </c>
      <c r="L368" s="248">
        <v>24</v>
      </c>
      <c r="O368" s="323" t="e">
        <f>D368/#REF!</f>
        <v>#REF!</v>
      </c>
    </row>
    <row r="369" spans="1:18" ht="15" customHeight="1">
      <c r="A369" s="132" t="s">
        <v>1093</v>
      </c>
      <c r="B369" s="251" t="s">
        <v>1094</v>
      </c>
      <c r="C369" s="126" t="s">
        <v>1922</v>
      </c>
      <c r="D369" s="274">
        <v>278.555554992</v>
      </c>
      <c r="E369" s="325">
        <v>21.276700000000002</v>
      </c>
      <c r="F369" s="321"/>
      <c r="G369" s="289"/>
      <c r="H369" s="331" t="s">
        <v>1126</v>
      </c>
      <c r="I369" s="389">
        <v>25725.463629999998</v>
      </c>
      <c r="K369" s="390">
        <f>180+200+450+3300+3200+650+300+500+4000+(75*12)+80+250+450+200+2000+(60*6)+300+350+750+2200+6000</f>
        <v>26620</v>
      </c>
      <c r="L369" s="248">
        <v>1</v>
      </c>
      <c r="O369" s="323" t="e">
        <f>D369/#REF!</f>
        <v>#REF!</v>
      </c>
    </row>
    <row r="370" spans="1:18" ht="15" customHeight="1">
      <c r="A370" s="132"/>
      <c r="B370" s="251"/>
      <c r="C370" s="126"/>
      <c r="D370" s="274"/>
      <c r="E370" s="325">
        <v>40</v>
      </c>
      <c r="F370" s="321"/>
      <c r="G370" s="289"/>
      <c r="H370" s="331" t="s">
        <v>1126</v>
      </c>
      <c r="K370" s="390">
        <f>147.62+174.24+296.45+3932.5+968+2722.5+943+774.4+367.84+496.1+4235+5929+(90.75*12)+84.7+242+387.2+193.6+2420+(72.6)+393.25+605+914.76+2154.75+6231.5</f>
        <v>35775.009999999995</v>
      </c>
      <c r="L370" s="248">
        <v>1</v>
      </c>
      <c r="O370" s="323" t="e">
        <f>D370/#REF!</f>
        <v>#REF!</v>
      </c>
      <c r="P370" s="416"/>
      <c r="Q370" s="408" t="s">
        <v>1966</v>
      </c>
      <c r="R370" s="409" t="s">
        <v>1972</v>
      </c>
    </row>
    <row r="371" spans="1:18" ht="15" customHeight="1">
      <c r="A371" s="132" t="s">
        <v>1418</v>
      </c>
      <c r="B371" s="251" t="s">
        <v>1096</v>
      </c>
      <c r="C371" s="126" t="s">
        <v>1922</v>
      </c>
      <c r="D371" s="274">
        <v>311.56363636363636</v>
      </c>
      <c r="E371" s="325"/>
      <c r="F371" s="321"/>
      <c r="G371" s="289"/>
      <c r="H371" s="331"/>
      <c r="K371" s="390"/>
      <c r="O371" s="323"/>
      <c r="P371" s="416"/>
    </row>
    <row r="372" spans="1:18" ht="15" customHeight="1">
      <c r="A372" s="132" t="s">
        <v>1172</v>
      </c>
      <c r="B372" s="251" t="s">
        <v>1173</v>
      </c>
      <c r="C372" s="126" t="s">
        <v>1904</v>
      </c>
      <c r="D372" s="274">
        <v>21.28</v>
      </c>
      <c r="E372" s="325">
        <v>4.5</v>
      </c>
      <c r="F372" s="321"/>
      <c r="G372" s="289"/>
      <c r="H372" s="331" t="s">
        <v>1124</v>
      </c>
      <c r="K372" s="390"/>
      <c r="O372" s="323" t="e">
        <f>D372/#REF!</f>
        <v>#REF!</v>
      </c>
    </row>
    <row r="373" spans="1:18" ht="15" customHeight="1">
      <c r="A373" s="132" t="s">
        <v>80</v>
      </c>
      <c r="B373" s="251" t="s">
        <v>81</v>
      </c>
      <c r="C373" s="126" t="s">
        <v>174</v>
      </c>
      <c r="D373" s="274">
        <v>75.089727440000004</v>
      </c>
      <c r="E373" s="325">
        <v>9.9741</v>
      </c>
      <c r="F373" s="321"/>
      <c r="G373" s="289"/>
      <c r="H373" s="299" t="s">
        <v>1196</v>
      </c>
      <c r="K373" s="248">
        <f>K370/1.21</f>
        <v>29566.123966942145</v>
      </c>
      <c r="L373" s="248">
        <v>2</v>
      </c>
      <c r="O373" s="323" t="e">
        <f>D373/#REF!</f>
        <v>#REF!</v>
      </c>
    </row>
    <row r="374" spans="1:18" ht="15" customHeight="1">
      <c r="A374" s="132" t="s">
        <v>82</v>
      </c>
      <c r="B374" s="251" t="s">
        <v>83</v>
      </c>
      <c r="C374" s="126" t="s">
        <v>174</v>
      </c>
      <c r="D374" s="274">
        <v>62.233288000000002</v>
      </c>
      <c r="E374" s="325">
        <v>8.2141999999999999</v>
      </c>
      <c r="F374" s="321"/>
      <c r="G374" s="320"/>
      <c r="H374" s="299"/>
      <c r="L374" s="248">
        <v>2</v>
      </c>
      <c r="O374" s="323" t="e">
        <f>D374/#REF!</f>
        <v>#REF!</v>
      </c>
    </row>
    <row r="375" spans="1:18" ht="15" customHeight="1">
      <c r="A375" s="210" t="s">
        <v>897</v>
      </c>
      <c r="B375" s="251" t="s">
        <v>84</v>
      </c>
      <c r="C375" s="126" t="s">
        <v>174</v>
      </c>
      <c r="D375" s="274">
        <v>456.4</v>
      </c>
      <c r="E375" s="325">
        <v>43.11</v>
      </c>
      <c r="F375" s="321"/>
      <c r="G375" s="320"/>
      <c r="H375" s="299"/>
      <c r="L375" s="248">
        <v>1</v>
      </c>
      <c r="O375" s="323" t="e">
        <f>D375/#REF!</f>
        <v>#REF!</v>
      </c>
    </row>
    <row r="376" spans="1:18" ht="15" customHeight="1">
      <c r="A376" s="132" t="s">
        <v>1609</v>
      </c>
      <c r="B376" s="251" t="s">
        <v>85</v>
      </c>
      <c r="C376" s="126" t="s">
        <v>174</v>
      </c>
      <c r="D376" s="274">
        <v>548.06611570247946</v>
      </c>
      <c r="E376" s="325">
        <v>38.36</v>
      </c>
      <c r="F376" s="321"/>
      <c r="G376" s="320"/>
      <c r="H376" s="299" t="s">
        <v>1127</v>
      </c>
      <c r="L376" s="248">
        <v>1</v>
      </c>
      <c r="O376" s="323" t="e">
        <f>D376/#REF!</f>
        <v>#REF!</v>
      </c>
    </row>
    <row r="377" spans="1:18" ht="15" customHeight="1">
      <c r="A377" s="132" t="s">
        <v>1913</v>
      </c>
      <c r="B377" s="251" t="s">
        <v>1914</v>
      </c>
      <c r="C377" s="126" t="s">
        <v>174</v>
      </c>
      <c r="D377" s="274">
        <v>628.50413223140504</v>
      </c>
      <c r="E377" s="325">
        <v>50.8</v>
      </c>
      <c r="F377" s="321"/>
      <c r="G377" s="320"/>
      <c r="H377" s="299" t="s">
        <v>1127</v>
      </c>
      <c r="L377" s="248">
        <v>1</v>
      </c>
      <c r="O377" s="323" t="e">
        <f>D377/#REF!</f>
        <v>#REF!</v>
      </c>
    </row>
    <row r="378" spans="1:18" ht="15" customHeight="1">
      <c r="A378" s="132" t="s">
        <v>1373</v>
      </c>
      <c r="B378" s="252" t="s">
        <v>1374</v>
      </c>
      <c r="C378" s="128" t="s">
        <v>174</v>
      </c>
      <c r="D378" s="274">
        <v>628.50413223140504</v>
      </c>
      <c r="E378" s="325">
        <v>8.17</v>
      </c>
      <c r="F378" s="391"/>
      <c r="G378" s="320"/>
      <c r="H378" s="299"/>
      <c r="O378" s="323" t="e">
        <f>D378/#REF!</f>
        <v>#REF!</v>
      </c>
    </row>
    <row r="379" spans="1:18" ht="15" customHeight="1">
      <c r="A379" s="132" t="s">
        <v>1605</v>
      </c>
      <c r="B379" s="251" t="s">
        <v>1929</v>
      </c>
      <c r="C379" s="126" t="s">
        <v>1749</v>
      </c>
      <c r="D379" s="274">
        <v>19.166431580000001</v>
      </c>
      <c r="E379" s="325">
        <v>4.24</v>
      </c>
      <c r="F379" s="321"/>
      <c r="G379" s="320"/>
      <c r="H379" s="299" t="s">
        <v>1195</v>
      </c>
      <c r="L379" s="248">
        <v>2</v>
      </c>
      <c r="O379" s="323" t="e">
        <f>D379/#REF!</f>
        <v>#REF!</v>
      </c>
    </row>
    <row r="380" spans="1:18" ht="15" customHeight="1">
      <c r="A380" s="132" t="s">
        <v>1827</v>
      </c>
      <c r="B380" s="251" t="s">
        <v>1910</v>
      </c>
      <c r="C380" s="126" t="s">
        <v>1749</v>
      </c>
      <c r="D380" s="274">
        <v>54.006997084559991</v>
      </c>
      <c r="E380" s="325">
        <v>5.9076000000000004</v>
      </c>
      <c r="F380" s="321"/>
      <c r="G380" s="320"/>
      <c r="H380" s="299"/>
      <c r="L380" s="248">
        <v>2</v>
      </c>
      <c r="O380" s="323" t="e">
        <f>D380/#REF!</f>
        <v>#REF!</v>
      </c>
    </row>
    <row r="381" spans="1:18" ht="15" customHeight="1">
      <c r="A381" s="132" t="s">
        <v>1611</v>
      </c>
      <c r="B381" s="251" t="s">
        <v>1909</v>
      </c>
      <c r="C381" s="126" t="s">
        <v>1749</v>
      </c>
      <c r="D381" s="274">
        <v>68.687319935520009</v>
      </c>
      <c r="E381" s="325">
        <v>6.8148999999999997</v>
      </c>
      <c r="F381" s="321"/>
      <c r="G381" s="320"/>
      <c r="H381" s="299" t="s">
        <v>1128</v>
      </c>
      <c r="L381" s="248">
        <v>2</v>
      </c>
      <c r="O381" s="323" t="e">
        <f>D381/#REF!</f>
        <v>#REF!</v>
      </c>
    </row>
    <row r="382" spans="1:18" ht="15" customHeight="1">
      <c r="A382" s="132" t="s">
        <v>1604</v>
      </c>
      <c r="B382" s="251" t="s">
        <v>1937</v>
      </c>
      <c r="C382" s="126" t="s">
        <v>174</v>
      </c>
      <c r="D382" s="274">
        <v>4.5</v>
      </c>
      <c r="E382" s="363">
        <v>0.63</v>
      </c>
      <c r="F382" s="321"/>
      <c r="G382" s="320"/>
      <c r="H382" s="299"/>
      <c r="L382" s="248">
        <v>2</v>
      </c>
      <c r="O382" s="323" t="e">
        <f>D382/#REF!</f>
        <v>#REF!</v>
      </c>
    </row>
    <row r="383" spans="1:18" ht="15" customHeight="1">
      <c r="A383" s="132" t="s">
        <v>1743</v>
      </c>
      <c r="B383" s="251" t="s">
        <v>1935</v>
      </c>
      <c r="C383" s="126" t="s">
        <v>174</v>
      </c>
      <c r="D383" s="274">
        <v>11.570247933884298</v>
      </c>
      <c r="E383" s="363">
        <v>0.89</v>
      </c>
      <c r="F383" s="321"/>
      <c r="G383" s="320"/>
      <c r="H383" s="299"/>
      <c r="L383" s="248">
        <v>2</v>
      </c>
      <c r="O383" s="323" t="e">
        <f>D383/#REF!</f>
        <v>#REF!</v>
      </c>
    </row>
    <row r="384" spans="1:18" ht="15" customHeight="1">
      <c r="A384" s="132" t="s">
        <v>78</v>
      </c>
      <c r="B384" s="251" t="s">
        <v>79</v>
      </c>
      <c r="C384" s="126" t="s">
        <v>174</v>
      </c>
      <c r="D384" s="274">
        <v>242.37</v>
      </c>
      <c r="E384" s="325">
        <v>11.28</v>
      </c>
      <c r="F384" s="321"/>
      <c r="G384" s="320"/>
      <c r="H384" s="299"/>
      <c r="L384" s="248">
        <v>2</v>
      </c>
      <c r="O384" s="323" t="e">
        <f>D384/#REF!</f>
        <v>#REF!</v>
      </c>
    </row>
    <row r="385" spans="1:15" ht="15" customHeight="1">
      <c r="A385" s="132" t="s">
        <v>1911</v>
      </c>
      <c r="B385" s="251" t="s">
        <v>1912</v>
      </c>
      <c r="C385" s="126" t="s">
        <v>174</v>
      </c>
      <c r="D385" s="274">
        <v>61.075966064959999</v>
      </c>
      <c r="E385" s="325">
        <v>10.75</v>
      </c>
      <c r="F385" s="321"/>
      <c r="G385" s="320"/>
      <c r="H385" s="299"/>
      <c r="L385" s="248">
        <v>1</v>
      </c>
      <c r="O385" s="323" t="e">
        <f>D385/#REF!</f>
        <v>#REF!</v>
      </c>
    </row>
    <row r="386" spans="1:15" ht="15" customHeight="1">
      <c r="A386" s="132" t="s">
        <v>1377</v>
      </c>
      <c r="B386" s="252" t="s">
        <v>1379</v>
      </c>
      <c r="C386" s="128" t="s">
        <v>174</v>
      </c>
      <c r="D386" s="274">
        <v>1.6528925619834711</v>
      </c>
      <c r="E386" s="325">
        <v>0.27550000000000002</v>
      </c>
      <c r="F386" s="392"/>
      <c r="G386" s="320"/>
      <c r="H386" s="299"/>
      <c r="O386" s="323" t="e">
        <f>D386/#REF!</f>
        <v>#REF!</v>
      </c>
    </row>
    <row r="387" spans="1:15" ht="15" customHeight="1">
      <c r="A387" s="132" t="s">
        <v>1378</v>
      </c>
      <c r="B387" s="254" t="s">
        <v>1380</v>
      </c>
      <c r="C387" s="128" t="s">
        <v>174</v>
      </c>
      <c r="D387" s="274">
        <v>1.9008264462809916</v>
      </c>
      <c r="E387" s="325">
        <v>0.29370000000000002</v>
      </c>
      <c r="F387" s="393"/>
      <c r="G387" s="320"/>
      <c r="H387" s="299"/>
      <c r="O387" s="323" t="e">
        <f>D387/#REF!</f>
        <v>#REF!</v>
      </c>
    </row>
    <row r="388" spans="1:15" ht="15" customHeight="1">
      <c r="A388" s="132" t="s">
        <v>1714</v>
      </c>
      <c r="B388" s="251" t="s">
        <v>1930</v>
      </c>
      <c r="C388" s="126" t="s">
        <v>174</v>
      </c>
      <c r="D388" s="274">
        <v>5.4243633659999997</v>
      </c>
      <c r="E388" s="325">
        <v>0.88</v>
      </c>
      <c r="F388" s="393"/>
      <c r="G388" s="320"/>
      <c r="H388" s="299"/>
      <c r="L388" s="248">
        <v>2</v>
      </c>
      <c r="O388" s="323" t="e">
        <f>D388/#REF!</f>
        <v>#REF!</v>
      </c>
    </row>
    <row r="389" spans="1:15" ht="15" customHeight="1">
      <c r="A389" s="132" t="s">
        <v>1715</v>
      </c>
      <c r="B389" s="251" t="s">
        <v>1931</v>
      </c>
      <c r="C389" s="126" t="s">
        <v>174</v>
      </c>
      <c r="D389" s="274">
        <v>409.23</v>
      </c>
      <c r="E389" s="325">
        <v>47.758499999999998</v>
      </c>
      <c r="F389" s="321"/>
      <c r="G389" s="320"/>
      <c r="H389" s="299"/>
      <c r="L389" s="248">
        <v>2</v>
      </c>
      <c r="O389" s="323" t="e">
        <f>D389/#REF!</f>
        <v>#REF!</v>
      </c>
    </row>
    <row r="390" spans="1:15" ht="15" customHeight="1">
      <c r="A390" s="132" t="s">
        <v>1716</v>
      </c>
      <c r="B390" s="251" t="s">
        <v>1932</v>
      </c>
      <c r="C390" s="126" t="s">
        <v>174</v>
      </c>
      <c r="D390" s="274">
        <v>161.69999999999999</v>
      </c>
      <c r="E390" s="325">
        <v>24.710799999999999</v>
      </c>
      <c r="F390" s="354"/>
      <c r="G390" s="320"/>
      <c r="H390" s="248" t="s">
        <v>1201</v>
      </c>
      <c r="L390" s="248">
        <v>3</v>
      </c>
      <c r="O390" s="323" t="e">
        <f>D390/#REF!</f>
        <v>#REF!</v>
      </c>
    </row>
    <row r="391" spans="1:15" ht="15" customHeight="1">
      <c r="A391" s="132" t="s">
        <v>1717</v>
      </c>
      <c r="B391" s="251" t="s">
        <v>1933</v>
      </c>
      <c r="C391" s="126" t="s">
        <v>1749</v>
      </c>
      <c r="D391" s="274">
        <v>36.9710775</v>
      </c>
      <c r="E391" s="325">
        <v>5.8410000000000002</v>
      </c>
      <c r="F391" s="354"/>
      <c r="G391" s="320"/>
      <c r="H391" s="299"/>
      <c r="L391" s="248">
        <v>2</v>
      </c>
      <c r="O391" s="323" t="e">
        <f>D391/#REF!</f>
        <v>#REF!</v>
      </c>
    </row>
    <row r="392" spans="1:15" ht="15" customHeight="1">
      <c r="A392" s="132" t="s">
        <v>1392</v>
      </c>
      <c r="B392" s="251" t="s">
        <v>1393</v>
      </c>
      <c r="C392" s="126" t="s">
        <v>174</v>
      </c>
      <c r="D392" s="274">
        <v>41.83884297520661</v>
      </c>
      <c r="E392" s="325">
        <v>6.71</v>
      </c>
      <c r="F392" s="354"/>
      <c r="G392" s="320"/>
      <c r="H392" s="299"/>
      <c r="O392" s="323" t="e">
        <f>D392/#REF!</f>
        <v>#REF!</v>
      </c>
    </row>
    <row r="393" spans="1:15" ht="15" customHeight="1">
      <c r="A393" s="132" t="s">
        <v>160</v>
      </c>
      <c r="B393" s="251" t="s">
        <v>87</v>
      </c>
      <c r="C393" s="126" t="s">
        <v>174</v>
      </c>
      <c r="D393" s="274">
        <v>629</v>
      </c>
      <c r="E393" s="325">
        <v>89.85</v>
      </c>
      <c r="F393" s="354"/>
      <c r="G393" s="320"/>
      <c r="H393" s="299"/>
      <c r="L393" s="248">
        <v>2</v>
      </c>
      <c r="O393" s="323" t="e">
        <f>D393/#REF!</f>
        <v>#REF!</v>
      </c>
    </row>
    <row r="394" spans="1:15" ht="15" customHeight="1">
      <c r="A394" s="132" t="s">
        <v>1608</v>
      </c>
      <c r="B394" s="251" t="s">
        <v>1917</v>
      </c>
      <c r="C394" s="126" t="s">
        <v>174</v>
      </c>
      <c r="D394" s="274">
        <v>1103.909090909091</v>
      </c>
      <c r="E394" s="325">
        <v>91.46</v>
      </c>
      <c r="F394" s="354"/>
      <c r="G394" s="394"/>
      <c r="H394" s="299" t="s">
        <v>1127</v>
      </c>
      <c r="L394" s="248">
        <v>1</v>
      </c>
      <c r="O394" s="323" t="e">
        <f>D394/#REF!</f>
        <v>#REF!</v>
      </c>
    </row>
    <row r="395" spans="1:15" ht="15" customHeight="1">
      <c r="A395" s="132" t="s">
        <v>1606</v>
      </c>
      <c r="B395" s="251" t="s">
        <v>1915</v>
      </c>
      <c r="C395" s="126" t="s">
        <v>174</v>
      </c>
      <c r="D395" s="274">
        <v>108.2324</v>
      </c>
      <c r="E395" s="363">
        <v>7.24</v>
      </c>
      <c r="F395" s="354"/>
      <c r="G395" s="320"/>
      <c r="H395" s="299"/>
      <c r="L395" s="248">
        <v>2</v>
      </c>
      <c r="O395" s="323" t="e">
        <f>D395/#REF!</f>
        <v>#REF!</v>
      </c>
    </row>
    <row r="396" spans="1:15" ht="15" customHeight="1">
      <c r="A396" s="132" t="s">
        <v>1733</v>
      </c>
      <c r="B396" s="251" t="s">
        <v>1916</v>
      </c>
      <c r="C396" s="126" t="s">
        <v>174</v>
      </c>
      <c r="D396" s="274">
        <v>96.817553749999988</v>
      </c>
      <c r="E396" s="363">
        <v>7.81</v>
      </c>
      <c r="F396" s="354"/>
      <c r="G396" s="320"/>
      <c r="H396" s="299"/>
      <c r="L396" s="248">
        <v>2</v>
      </c>
      <c r="O396" s="323" t="e">
        <f>D396/#REF!</f>
        <v>#REF!</v>
      </c>
    </row>
    <row r="397" spans="1:15" ht="15" customHeight="1">
      <c r="A397" s="132" t="s">
        <v>1375</v>
      </c>
      <c r="B397" s="252" t="s">
        <v>1376</v>
      </c>
      <c r="C397" s="128" t="s">
        <v>174</v>
      </c>
      <c r="D397" s="274">
        <v>106.5</v>
      </c>
      <c r="E397" s="363">
        <v>7.58</v>
      </c>
      <c r="F397" s="321"/>
      <c r="G397" s="320"/>
      <c r="H397" s="299"/>
      <c r="O397" s="323" t="e">
        <f>D397/#REF!</f>
        <v>#REF!</v>
      </c>
    </row>
    <row r="398" spans="1:15" ht="15" customHeight="1">
      <c r="A398" s="132" t="s">
        <v>1267</v>
      </c>
      <c r="B398" s="252" t="s">
        <v>1391</v>
      </c>
      <c r="C398" s="128" t="s">
        <v>174</v>
      </c>
      <c r="D398" s="274">
        <v>81.25</v>
      </c>
      <c r="E398" s="363">
        <v>15.07</v>
      </c>
      <c r="F398" s="321"/>
      <c r="G398" s="320"/>
      <c r="H398" s="299"/>
      <c r="O398" s="323" t="e">
        <f>D398/#REF!</f>
        <v>#REF!</v>
      </c>
    </row>
    <row r="399" spans="1:15" ht="15" customHeight="1">
      <c r="A399" s="132" t="s">
        <v>1316</v>
      </c>
      <c r="B399" s="207" t="s">
        <v>1022</v>
      </c>
      <c r="C399" s="128" t="s">
        <v>174</v>
      </c>
      <c r="D399" s="274">
        <v>1347.6217591999998</v>
      </c>
      <c r="E399" s="363"/>
      <c r="F399" s="321"/>
      <c r="G399" s="320"/>
      <c r="H399" s="299"/>
      <c r="O399" s="323" t="e">
        <f>D399/#REF!</f>
        <v>#REF!</v>
      </c>
    </row>
    <row r="400" spans="1:15" ht="15" customHeight="1">
      <c r="A400" s="132" t="s">
        <v>1610</v>
      </c>
      <c r="B400" s="251" t="s">
        <v>1907</v>
      </c>
      <c r="C400" s="126" t="s">
        <v>1876</v>
      </c>
      <c r="D400" s="274">
        <v>783.75</v>
      </c>
      <c r="E400" s="363">
        <v>110.68</v>
      </c>
      <c r="F400" s="354"/>
      <c r="G400" s="320"/>
      <c r="H400" s="299" t="s">
        <v>1129</v>
      </c>
      <c r="L400" s="248">
        <v>2</v>
      </c>
      <c r="O400" s="323" t="e">
        <f>D400/#REF!</f>
        <v>#REF!</v>
      </c>
    </row>
    <row r="401" spans="1:17" ht="15" customHeight="1">
      <c r="A401" s="132" t="s">
        <v>383</v>
      </c>
      <c r="B401" s="251" t="s">
        <v>384</v>
      </c>
      <c r="C401" s="126" t="s">
        <v>1876</v>
      </c>
      <c r="D401" s="274">
        <v>1819.636363636364</v>
      </c>
      <c r="E401" s="363">
        <v>194.21</v>
      </c>
      <c r="F401" s="321"/>
      <c r="G401" s="320"/>
      <c r="H401" s="299" t="s">
        <v>1129</v>
      </c>
      <c r="L401" s="248">
        <v>1</v>
      </c>
      <c r="O401" s="323" t="e">
        <f>D401/#REF!</f>
        <v>#REF!</v>
      </c>
    </row>
    <row r="402" spans="1:17" ht="15" customHeight="1">
      <c r="A402" s="132" t="s">
        <v>1828</v>
      </c>
      <c r="B402" s="251" t="s">
        <v>88</v>
      </c>
      <c r="C402" s="126" t="s">
        <v>174</v>
      </c>
      <c r="D402" s="274">
        <v>37.42</v>
      </c>
      <c r="E402" s="363">
        <v>6.96</v>
      </c>
      <c r="F402" s="321"/>
      <c r="G402" s="320"/>
      <c r="H402" s="299"/>
      <c r="L402" s="248">
        <v>2</v>
      </c>
      <c r="O402" s="323" t="e">
        <f>D402/#REF!</f>
        <v>#REF!</v>
      </c>
    </row>
    <row r="403" spans="1:17" ht="15" customHeight="1">
      <c r="A403" s="132" t="s">
        <v>1718</v>
      </c>
      <c r="B403" s="251" t="s">
        <v>1934</v>
      </c>
      <c r="C403" s="126" t="s">
        <v>174</v>
      </c>
      <c r="D403" s="274">
        <v>147.4</v>
      </c>
      <c r="E403" s="363">
        <v>11.834199999999999</v>
      </c>
      <c r="F403" s="321"/>
      <c r="G403" s="320"/>
      <c r="H403" s="299"/>
      <c r="L403" s="248">
        <v>2</v>
      </c>
      <c r="O403" s="323" t="e">
        <f>D403/#REF!</f>
        <v>#REF!</v>
      </c>
    </row>
    <row r="404" spans="1:17" ht="15" customHeight="1">
      <c r="A404" s="132" t="s">
        <v>1317</v>
      </c>
      <c r="B404" s="252" t="s">
        <v>1341</v>
      </c>
      <c r="C404" s="128" t="s">
        <v>174</v>
      </c>
      <c r="D404" s="274">
        <v>12.63</v>
      </c>
      <c r="E404" s="363">
        <v>0.95</v>
      </c>
      <c r="F404" s="321"/>
      <c r="G404" s="320"/>
      <c r="H404" s="299"/>
      <c r="O404" s="323" t="e">
        <f>D404/#REF!</f>
        <v>#REF!</v>
      </c>
    </row>
    <row r="405" spans="1:17" ht="15" customHeight="1">
      <c r="A405" s="132" t="s">
        <v>1318</v>
      </c>
      <c r="B405" s="252" t="s">
        <v>1342</v>
      </c>
      <c r="C405" s="128" t="s">
        <v>174</v>
      </c>
      <c r="D405" s="274">
        <v>16.440000000000001</v>
      </c>
      <c r="E405" s="363">
        <v>1.28</v>
      </c>
      <c r="F405" s="321"/>
      <c r="G405" s="320"/>
      <c r="H405" s="299"/>
      <c r="O405" s="323" t="e">
        <f>D405/#REF!</f>
        <v>#REF!</v>
      </c>
    </row>
    <row r="406" spans="1:17" ht="15" customHeight="1">
      <c r="A406" s="132" t="s">
        <v>1319</v>
      </c>
      <c r="B406" s="252" t="s">
        <v>1343</v>
      </c>
      <c r="C406" s="128" t="s">
        <v>174</v>
      </c>
      <c r="D406" s="274">
        <v>9.0399999999999991</v>
      </c>
      <c r="E406" s="363">
        <v>0.7</v>
      </c>
      <c r="F406" s="321"/>
      <c r="G406" s="320"/>
      <c r="H406" s="299"/>
      <c r="O406" s="323" t="e">
        <f>D406/#REF!</f>
        <v>#REF!</v>
      </c>
    </row>
    <row r="407" spans="1:17" ht="15" customHeight="1">
      <c r="A407" s="132" t="s">
        <v>1320</v>
      </c>
      <c r="B407" s="252" t="s">
        <v>1344</v>
      </c>
      <c r="C407" s="128" t="s">
        <v>174</v>
      </c>
      <c r="D407" s="274">
        <v>12</v>
      </c>
      <c r="E407" s="363">
        <v>1.1299999999999999</v>
      </c>
      <c r="F407" s="321"/>
      <c r="G407" s="320"/>
      <c r="H407" s="299"/>
      <c r="O407" s="323" t="e">
        <f>D407/#REF!</f>
        <v>#REF!</v>
      </c>
    </row>
    <row r="408" spans="1:17" ht="15" customHeight="1">
      <c r="A408" s="132" t="s">
        <v>1321</v>
      </c>
      <c r="B408" s="252" t="s">
        <v>1345</v>
      </c>
      <c r="C408" s="128" t="s">
        <v>174</v>
      </c>
      <c r="D408" s="274">
        <v>7.3542000000000005</v>
      </c>
      <c r="E408" s="363">
        <v>0.51</v>
      </c>
      <c r="F408" s="321"/>
      <c r="G408" s="320"/>
      <c r="H408" s="299"/>
      <c r="O408" s="323" t="e">
        <f>D408/#REF!</f>
        <v>#REF!</v>
      </c>
    </row>
    <row r="409" spans="1:17" ht="15" customHeight="1">
      <c r="A409" s="135"/>
      <c r="B409" s="252"/>
      <c r="C409" s="128"/>
      <c r="D409" s="274"/>
      <c r="E409" s="329">
        <f>E386</f>
        <v>0.27550000000000002</v>
      </c>
      <c r="F409" s="321"/>
      <c r="G409" s="320"/>
      <c r="H409" s="299"/>
      <c r="O409" s="323" t="e">
        <f>D409/#REF!</f>
        <v>#REF!</v>
      </c>
      <c r="Q409" s="408" t="s">
        <v>1966</v>
      </c>
    </row>
    <row r="410" spans="1:17" ht="15" customHeight="1">
      <c r="A410" s="135"/>
      <c r="B410" s="252"/>
      <c r="C410" s="128"/>
      <c r="D410" s="274"/>
      <c r="E410" s="329">
        <f>E387</f>
        <v>0.29370000000000002</v>
      </c>
      <c r="F410" s="321"/>
      <c r="G410" s="320"/>
      <c r="H410" s="299"/>
      <c r="O410" s="323" t="e">
        <f>D410/#REF!</f>
        <v>#REF!</v>
      </c>
      <c r="Q410" s="408" t="s">
        <v>1966</v>
      </c>
    </row>
    <row r="411" spans="1:17" ht="15" customHeight="1">
      <c r="A411" s="132" t="s">
        <v>1322</v>
      </c>
      <c r="B411" s="252" t="s">
        <v>1346</v>
      </c>
      <c r="C411" s="128" t="s">
        <v>174</v>
      </c>
      <c r="D411" s="274">
        <v>2.67</v>
      </c>
      <c r="E411" s="363">
        <v>0.43</v>
      </c>
      <c r="F411" s="321"/>
      <c r="G411" s="320"/>
      <c r="H411" s="299"/>
      <c r="O411" s="323" t="e">
        <f>D411/#REF!</f>
        <v>#REF!</v>
      </c>
    </row>
    <row r="412" spans="1:17" ht="15" customHeight="1">
      <c r="A412" s="132" t="s">
        <v>1323</v>
      </c>
      <c r="B412" s="252" t="s">
        <v>1347</v>
      </c>
      <c r="C412" s="128" t="s">
        <v>174</v>
      </c>
      <c r="D412" s="274">
        <v>3.75</v>
      </c>
      <c r="E412" s="363">
        <v>0.56999999999999995</v>
      </c>
      <c r="F412" s="321"/>
      <c r="G412" s="320"/>
      <c r="H412" s="299"/>
      <c r="O412" s="323" t="e">
        <f>D412/#REF!</f>
        <v>#REF!</v>
      </c>
    </row>
    <row r="413" spans="1:17" ht="15" customHeight="1">
      <c r="A413" s="132" t="s">
        <v>1324</v>
      </c>
      <c r="B413" s="252" t="s">
        <v>1348</v>
      </c>
      <c r="C413" s="128" t="s">
        <v>174</v>
      </c>
      <c r="D413" s="274">
        <v>7.9619099999999996</v>
      </c>
      <c r="E413" s="363">
        <v>1.34</v>
      </c>
      <c r="F413" s="321"/>
      <c r="G413" s="320"/>
      <c r="H413" s="299"/>
      <c r="O413" s="323" t="e">
        <f>D413/#REF!</f>
        <v>#REF!</v>
      </c>
    </row>
    <row r="414" spans="1:17" ht="15" customHeight="1">
      <c r="A414" s="132" t="s">
        <v>1325</v>
      </c>
      <c r="B414" s="252" t="s">
        <v>1349</v>
      </c>
      <c r="C414" s="128" t="s">
        <v>174</v>
      </c>
      <c r="D414" s="274">
        <v>10.65</v>
      </c>
      <c r="E414" s="363">
        <v>1.7</v>
      </c>
      <c r="F414" s="321"/>
      <c r="G414" s="320"/>
      <c r="H414" s="299"/>
      <c r="O414" s="323" t="e">
        <f>D414/#REF!</f>
        <v>#REF!</v>
      </c>
    </row>
    <row r="415" spans="1:17" ht="15" customHeight="1">
      <c r="A415" s="132" t="s">
        <v>1326</v>
      </c>
      <c r="B415" s="252" t="s">
        <v>1350</v>
      </c>
      <c r="C415" s="128" t="s">
        <v>174</v>
      </c>
      <c r="D415" s="274">
        <v>10.65</v>
      </c>
      <c r="E415" s="329">
        <f>E398</f>
        <v>15.07</v>
      </c>
      <c r="F415" s="321"/>
      <c r="G415" s="320"/>
      <c r="H415" s="299"/>
      <c r="O415" s="323" t="e">
        <f>D415/#REF!</f>
        <v>#REF!</v>
      </c>
    </row>
    <row r="416" spans="1:17" ht="15" customHeight="1">
      <c r="A416" s="132" t="s">
        <v>1327</v>
      </c>
      <c r="B416" s="252" t="s">
        <v>1351</v>
      </c>
      <c r="C416" s="128" t="s">
        <v>174</v>
      </c>
      <c r="D416" s="274">
        <v>1.6035012</v>
      </c>
      <c r="E416" s="363">
        <v>0.23</v>
      </c>
      <c r="F416" s="321"/>
      <c r="G416" s="320"/>
      <c r="H416" s="299"/>
      <c r="O416" s="323" t="e">
        <f>D416/#REF!</f>
        <v>#REF!</v>
      </c>
    </row>
    <row r="417" spans="1:15" ht="15" customHeight="1">
      <c r="A417" s="132" t="s">
        <v>1328</v>
      </c>
      <c r="B417" s="252" t="s">
        <v>1352</v>
      </c>
      <c r="C417" s="128" t="s">
        <v>174</v>
      </c>
      <c r="D417" s="274">
        <v>2.3199999999999998</v>
      </c>
      <c r="E417" s="363">
        <v>0.34</v>
      </c>
      <c r="F417" s="321"/>
      <c r="G417" s="320"/>
      <c r="H417" s="299"/>
      <c r="O417" s="323" t="e">
        <f>D417/#REF!</f>
        <v>#REF!</v>
      </c>
    </row>
    <row r="418" spans="1:15" ht="15" customHeight="1">
      <c r="A418" s="132" t="s">
        <v>1329</v>
      </c>
      <c r="B418" s="252" t="s">
        <v>1353</v>
      </c>
      <c r="C418" s="128" t="s">
        <v>174</v>
      </c>
      <c r="D418" s="274">
        <v>36.090000000000003</v>
      </c>
      <c r="E418" s="363">
        <v>4.63</v>
      </c>
      <c r="F418" s="321"/>
      <c r="G418" s="320"/>
      <c r="H418" s="299"/>
      <c r="O418" s="323" t="e">
        <f>D418/#REF!</f>
        <v>#REF!</v>
      </c>
    </row>
    <row r="419" spans="1:15" ht="15" customHeight="1">
      <c r="A419" s="132" t="s">
        <v>1330</v>
      </c>
      <c r="B419" s="252" t="s">
        <v>1354</v>
      </c>
      <c r="C419" s="128" t="s">
        <v>174</v>
      </c>
      <c r="D419" s="274">
        <v>7.1135999999999999</v>
      </c>
      <c r="E419" s="363">
        <v>1.1399999999999999</v>
      </c>
      <c r="F419" s="321"/>
      <c r="G419" s="320"/>
      <c r="H419" s="299"/>
      <c r="O419" s="323" t="e">
        <f>D419/#REF!</f>
        <v>#REF!</v>
      </c>
    </row>
    <row r="420" spans="1:15" ht="15" customHeight="1">
      <c r="A420" s="132" t="s">
        <v>1331</v>
      </c>
      <c r="B420" s="252" t="s">
        <v>1355</v>
      </c>
      <c r="C420" s="128" t="s">
        <v>174</v>
      </c>
      <c r="D420" s="274">
        <v>11.3672</v>
      </c>
      <c r="E420" s="363">
        <v>1.82</v>
      </c>
      <c r="F420" s="321"/>
      <c r="G420" s="320"/>
      <c r="H420" s="299"/>
      <c r="O420" s="323" t="e">
        <f>D420/#REF!</f>
        <v>#REF!</v>
      </c>
    </row>
    <row r="421" spans="1:15" ht="15" customHeight="1">
      <c r="A421" s="132" t="s">
        <v>1332</v>
      </c>
      <c r="B421" s="252" t="s">
        <v>1356</v>
      </c>
      <c r="C421" s="128" t="s">
        <v>174</v>
      </c>
      <c r="D421" s="274">
        <v>14.42</v>
      </c>
      <c r="E421" s="363">
        <v>2.04</v>
      </c>
      <c r="F421" s="321"/>
      <c r="G421" s="320"/>
      <c r="H421" s="299"/>
      <c r="O421" s="323" t="e">
        <f>D421/#REF!</f>
        <v>#REF!</v>
      </c>
    </row>
    <row r="422" spans="1:15" ht="15" customHeight="1">
      <c r="A422" s="132" t="s">
        <v>1333</v>
      </c>
      <c r="B422" s="252" t="s">
        <v>1357</v>
      </c>
      <c r="C422" s="128" t="s">
        <v>174</v>
      </c>
      <c r="D422" s="274">
        <v>3.84</v>
      </c>
      <c r="E422" s="363">
        <v>0.55000000000000004</v>
      </c>
      <c r="F422" s="321"/>
      <c r="G422" s="320"/>
      <c r="H422" s="299"/>
      <c r="O422" s="323" t="e">
        <f>D422/#REF!</f>
        <v>#REF!</v>
      </c>
    </row>
    <row r="423" spans="1:15" ht="15" customHeight="1">
      <c r="A423" s="132" t="s">
        <v>1334</v>
      </c>
      <c r="B423" s="252" t="s">
        <v>1358</v>
      </c>
      <c r="C423" s="128" t="s">
        <v>174</v>
      </c>
      <c r="D423" s="274">
        <v>5.3872</v>
      </c>
      <c r="E423" s="363">
        <v>0.86</v>
      </c>
      <c r="F423" s="321"/>
      <c r="G423" s="320"/>
      <c r="H423" s="299"/>
      <c r="O423" s="323" t="e">
        <f>D423/#REF!</f>
        <v>#REF!</v>
      </c>
    </row>
    <row r="424" spans="1:15" ht="15" customHeight="1">
      <c r="A424" s="132" t="s">
        <v>1335</v>
      </c>
      <c r="B424" s="252" t="s">
        <v>1359</v>
      </c>
      <c r="C424" s="128" t="s">
        <v>174</v>
      </c>
      <c r="D424" s="274">
        <v>55.76</v>
      </c>
      <c r="E424" s="363">
        <v>7.34</v>
      </c>
      <c r="F424" s="321"/>
      <c r="G424" s="320"/>
      <c r="H424" s="299"/>
      <c r="O424" s="323" t="e">
        <f>D424/#REF!</f>
        <v>#REF!</v>
      </c>
    </row>
    <row r="425" spans="1:15" ht="15" customHeight="1">
      <c r="A425" s="132" t="s">
        <v>1336</v>
      </c>
      <c r="B425" s="252" t="s">
        <v>1360</v>
      </c>
      <c r="C425" s="128" t="s">
        <v>174</v>
      </c>
      <c r="D425" s="274">
        <v>76.033057851239676</v>
      </c>
      <c r="E425" s="363">
        <v>10.14</v>
      </c>
      <c r="F425" s="321"/>
      <c r="G425" s="320"/>
      <c r="H425" s="299"/>
      <c r="O425" s="323" t="e">
        <f>D425/#REF!</f>
        <v>#REF!</v>
      </c>
    </row>
    <row r="426" spans="1:15" ht="15" customHeight="1">
      <c r="A426" s="135" t="s">
        <v>1337</v>
      </c>
      <c r="B426" s="252" t="s">
        <v>1362</v>
      </c>
      <c r="C426" s="128" t="s">
        <v>174</v>
      </c>
      <c r="D426" s="274">
        <v>76.033057851239676</v>
      </c>
      <c r="E426" s="366">
        <f>E378</f>
        <v>8.17</v>
      </c>
      <c r="F426" s="391"/>
      <c r="G426" s="320"/>
      <c r="H426" s="299"/>
      <c r="O426" s="323" t="e">
        <f>D426/#REF!</f>
        <v>#REF!</v>
      </c>
    </row>
    <row r="427" spans="1:15" ht="15" customHeight="1">
      <c r="A427" s="135" t="s">
        <v>1375</v>
      </c>
      <c r="B427" s="252" t="s">
        <v>1363</v>
      </c>
      <c r="C427" s="128" t="s">
        <v>174</v>
      </c>
      <c r="D427" s="274">
        <v>106.5</v>
      </c>
      <c r="E427" s="395">
        <f>E397</f>
        <v>7.58</v>
      </c>
      <c r="F427" s="321"/>
      <c r="G427" s="320"/>
      <c r="H427" s="299"/>
      <c r="O427" s="323" t="e">
        <f>D427/#REF!</f>
        <v>#REF!</v>
      </c>
    </row>
    <row r="428" spans="1:15" ht="15" customHeight="1">
      <c r="A428" s="135" t="s">
        <v>1338</v>
      </c>
      <c r="B428" s="252" t="s">
        <v>1361</v>
      </c>
      <c r="C428" s="128" t="s">
        <v>174</v>
      </c>
      <c r="D428" s="274">
        <v>76.033057851239676</v>
      </c>
      <c r="E428" s="396">
        <v>7.62</v>
      </c>
      <c r="F428" s="321"/>
      <c r="G428" s="320"/>
      <c r="H428" s="299"/>
      <c r="O428" s="323" t="e">
        <f>D428/#REF!</f>
        <v>#REF!</v>
      </c>
    </row>
    <row r="429" spans="1:15" ht="15" customHeight="1">
      <c r="A429" s="132" t="s">
        <v>1339</v>
      </c>
      <c r="B429" s="252" t="s">
        <v>1364</v>
      </c>
      <c r="C429" s="128" t="s">
        <v>174</v>
      </c>
      <c r="D429" s="274">
        <v>80.235100000000003</v>
      </c>
      <c r="E429" s="363">
        <v>5.23</v>
      </c>
      <c r="F429" s="321"/>
      <c r="G429" s="320"/>
      <c r="H429" s="299"/>
      <c r="O429" s="323" t="e">
        <f>D429/#REF!</f>
        <v>#REF!</v>
      </c>
    </row>
    <row r="430" spans="1:15" ht="15" customHeight="1">
      <c r="A430" s="132" t="s">
        <v>1340</v>
      </c>
      <c r="B430" s="252" t="s">
        <v>1365</v>
      </c>
      <c r="C430" s="128" t="s">
        <v>174</v>
      </c>
      <c r="D430" s="274">
        <v>39.669421487603309</v>
      </c>
      <c r="E430" s="363">
        <v>5.83</v>
      </c>
      <c r="F430" s="321"/>
      <c r="G430" s="320"/>
      <c r="H430" s="299"/>
      <c r="O430" s="323" t="e">
        <f>D430/#REF!</f>
        <v>#REF!</v>
      </c>
    </row>
    <row r="431" spans="1:15" ht="15" customHeight="1">
      <c r="A431" s="132" t="s">
        <v>1315</v>
      </c>
      <c r="B431" s="255" t="s">
        <v>1025</v>
      </c>
      <c r="C431" s="126" t="s">
        <v>1876</v>
      </c>
      <c r="D431" s="274">
        <v>35.462899999999998</v>
      </c>
      <c r="E431" s="363">
        <v>5.8182</v>
      </c>
      <c r="F431" s="354"/>
      <c r="G431" s="394"/>
      <c r="H431" s="299" t="s">
        <v>1214</v>
      </c>
      <c r="L431" s="248">
        <v>2</v>
      </c>
      <c r="O431" s="323" t="e">
        <f>D431/#REF!</f>
        <v>#REF!</v>
      </c>
    </row>
    <row r="432" spans="1:15" ht="15" customHeight="1">
      <c r="A432" s="132" t="s">
        <v>1591</v>
      </c>
      <c r="B432" s="251" t="s">
        <v>1905</v>
      </c>
      <c r="C432" s="126" t="s">
        <v>1876</v>
      </c>
      <c r="D432" s="274">
        <v>66.12</v>
      </c>
      <c r="E432" s="363">
        <v>13.8843</v>
      </c>
      <c r="F432" s="321"/>
      <c r="G432" s="320"/>
      <c r="H432" s="299" t="s">
        <v>1186</v>
      </c>
      <c r="L432" s="248">
        <v>1</v>
      </c>
      <c r="O432" s="323" t="e">
        <f>D432/#REF!</f>
        <v>#REF!</v>
      </c>
    </row>
    <row r="433" spans="1:21" ht="15" customHeight="1">
      <c r="A433" s="132" t="s">
        <v>1822</v>
      </c>
      <c r="B433" s="251" t="s">
        <v>1906</v>
      </c>
      <c r="C433" s="126" t="s">
        <v>1876</v>
      </c>
      <c r="D433" s="274">
        <v>95.867768595041326</v>
      </c>
      <c r="E433" s="363">
        <v>15.702500000000001</v>
      </c>
      <c r="F433" s="321"/>
      <c r="G433" s="320"/>
      <c r="H433" s="299" t="s">
        <v>1186</v>
      </c>
      <c r="L433" s="248">
        <v>1</v>
      </c>
      <c r="O433" s="323" t="e">
        <f>D433/#REF!</f>
        <v>#REF!</v>
      </c>
    </row>
    <row r="434" spans="1:21" ht="15" customHeight="1">
      <c r="A434" s="210" t="s">
        <v>999</v>
      </c>
      <c r="B434" s="251" t="s">
        <v>89</v>
      </c>
      <c r="C434" s="205" t="s">
        <v>1876</v>
      </c>
      <c r="D434" s="274">
        <v>54.29</v>
      </c>
      <c r="E434" s="363">
        <v>11.23</v>
      </c>
      <c r="F434" s="321"/>
      <c r="G434" s="349"/>
      <c r="H434" s="299" t="s">
        <v>1191</v>
      </c>
      <c r="L434" s="248">
        <v>2</v>
      </c>
      <c r="O434" s="323" t="e">
        <f>D434/#REF!</f>
        <v>#REF!</v>
      </c>
    </row>
    <row r="435" spans="1:21" ht="15" customHeight="1">
      <c r="A435" s="210" t="s">
        <v>1013</v>
      </c>
      <c r="B435" s="251" t="s">
        <v>90</v>
      </c>
      <c r="C435" s="126" t="s">
        <v>1876</v>
      </c>
      <c r="D435" s="274">
        <v>62.636980000000008</v>
      </c>
      <c r="E435" s="363">
        <v>11.2</v>
      </c>
      <c r="F435" s="354"/>
      <c r="G435" s="349"/>
      <c r="H435" s="355" t="s">
        <v>1191</v>
      </c>
      <c r="L435" s="248">
        <v>2</v>
      </c>
      <c r="O435" s="323" t="e">
        <f>D435/#REF!</f>
        <v>#REF!</v>
      </c>
    </row>
    <row r="436" spans="1:21" ht="15" customHeight="1">
      <c r="A436" s="132" t="s">
        <v>91</v>
      </c>
      <c r="B436" s="251" t="s">
        <v>92</v>
      </c>
      <c r="C436" s="126" t="s">
        <v>174</v>
      </c>
      <c r="D436" s="274">
        <v>6.31</v>
      </c>
      <c r="E436" s="325">
        <v>0.62</v>
      </c>
      <c r="F436" s="321"/>
      <c r="G436" s="320"/>
      <c r="H436" s="299" t="s">
        <v>1189</v>
      </c>
      <c r="L436" s="248">
        <v>1</v>
      </c>
      <c r="O436" s="323" t="e">
        <f>D436/#REF!</f>
        <v>#REF!</v>
      </c>
    </row>
    <row r="437" spans="1:21" ht="15" customHeight="1">
      <c r="A437" s="132" t="s">
        <v>1594</v>
      </c>
      <c r="B437" s="251" t="s">
        <v>1888</v>
      </c>
      <c r="C437" s="126" t="s">
        <v>174</v>
      </c>
      <c r="D437" s="274">
        <v>7.92</v>
      </c>
      <c r="E437" s="325">
        <v>0.79</v>
      </c>
      <c r="F437" s="321"/>
      <c r="G437" s="320"/>
      <c r="H437" s="299" t="s">
        <v>1189</v>
      </c>
      <c r="L437" s="248">
        <v>1</v>
      </c>
      <c r="O437" s="323" t="e">
        <f>D437/#REF!</f>
        <v>#REF!</v>
      </c>
    </row>
    <row r="438" spans="1:21" ht="15" customHeight="1">
      <c r="A438" s="132" t="s">
        <v>93</v>
      </c>
      <c r="B438" s="251" t="s">
        <v>32</v>
      </c>
      <c r="C438" s="126" t="s">
        <v>1876</v>
      </c>
      <c r="D438" s="274">
        <v>155.43801652892563</v>
      </c>
      <c r="E438" s="325">
        <v>32.154299999999999</v>
      </c>
      <c r="F438" s="321"/>
      <c r="G438" s="320"/>
      <c r="H438" s="299" t="s">
        <v>1130</v>
      </c>
      <c r="L438" s="248">
        <v>3</v>
      </c>
      <c r="O438" s="323" t="e">
        <f>D438/#REF!</f>
        <v>#REF!</v>
      </c>
    </row>
    <row r="439" spans="1:21" ht="15" customHeight="1">
      <c r="A439" s="132" t="s">
        <v>94</v>
      </c>
      <c r="B439" s="251" t="s">
        <v>95</v>
      </c>
      <c r="C439" s="126" t="s">
        <v>1876</v>
      </c>
      <c r="D439" s="274">
        <v>257.95316804407713</v>
      </c>
      <c r="E439" s="325">
        <v>44.697000000000003</v>
      </c>
      <c r="F439" s="354"/>
      <c r="G439" s="320"/>
      <c r="H439" s="299"/>
      <c r="L439" s="248">
        <v>3</v>
      </c>
      <c r="O439" s="323" t="e">
        <f>D439/#REF!</f>
        <v>#REF!</v>
      </c>
    </row>
    <row r="440" spans="1:21" ht="15" customHeight="1">
      <c r="A440" s="126" t="s">
        <v>1603</v>
      </c>
      <c r="B440" s="251" t="s">
        <v>1918</v>
      </c>
      <c r="C440" s="126" t="s">
        <v>1876</v>
      </c>
      <c r="D440" s="274">
        <v>151</v>
      </c>
      <c r="E440" s="325">
        <v>23.7438</v>
      </c>
      <c r="F440" s="321"/>
      <c r="G440" s="320"/>
      <c r="H440" s="299"/>
      <c r="L440" s="248">
        <v>3</v>
      </c>
      <c r="O440" s="323" t="e">
        <f>D440/#REF!</f>
        <v>#REF!</v>
      </c>
    </row>
    <row r="441" spans="1:21" ht="15" customHeight="1" thickBot="1">
      <c r="A441" s="126" t="s">
        <v>31</v>
      </c>
      <c r="B441" s="251" t="s">
        <v>96</v>
      </c>
      <c r="C441" s="126" t="s">
        <v>1876</v>
      </c>
      <c r="D441" s="274">
        <v>128.099173553719</v>
      </c>
      <c r="E441" s="397">
        <v>39.130000000000003</v>
      </c>
      <c r="F441" s="398"/>
      <c r="G441" s="399"/>
      <c r="H441" s="299"/>
      <c r="L441" s="248">
        <v>3</v>
      </c>
      <c r="O441" s="323" t="e">
        <f>D441/#REF!</f>
        <v>#REF!</v>
      </c>
    </row>
    <row r="442" spans="1:21">
      <c r="D442" s="400"/>
      <c r="E442" s="141">
        <v>39.132199999999997</v>
      </c>
      <c r="L442" s="248">
        <f>SUM(L6:L441)</f>
        <v>456</v>
      </c>
      <c r="O442" s="248" t="e">
        <f>D526/#REF!</f>
        <v>#REF!</v>
      </c>
    </row>
    <row r="443" spans="1:21">
      <c r="D443" s="400"/>
    </row>
    <row r="444" spans="1:21">
      <c r="D444" s="400"/>
    </row>
    <row r="445" spans="1:21">
      <c r="D445" s="400"/>
    </row>
    <row r="446" spans="1:21" s="89" customFormat="1" ht="15.75">
      <c r="A446" s="233" t="s">
        <v>1450</v>
      </c>
      <c r="B446" s="257"/>
      <c r="C446" s="140"/>
      <c r="D446" s="400"/>
      <c r="E446" s="402"/>
      <c r="F446" s="403"/>
      <c r="G446" s="404"/>
      <c r="H446" s="257"/>
      <c r="I446" s="257"/>
      <c r="J446" s="257"/>
      <c r="K446" s="257"/>
      <c r="L446" s="257"/>
      <c r="M446" s="257"/>
      <c r="N446" s="257"/>
      <c r="O446" s="257"/>
      <c r="P446" s="416"/>
      <c r="Q446" s="417"/>
      <c r="R446" s="409"/>
      <c r="S446" s="418"/>
      <c r="T446" s="418"/>
      <c r="U446" s="418"/>
    </row>
    <row r="447" spans="1:21">
      <c r="B447" s="258"/>
      <c r="C447" s="149"/>
      <c r="D447" s="400"/>
    </row>
    <row r="448" spans="1:21" ht="15" customHeight="1">
      <c r="A448" s="234" t="s">
        <v>1419</v>
      </c>
      <c r="B448" s="146" t="s">
        <v>1435</v>
      </c>
      <c r="C448" s="179" t="s">
        <v>174</v>
      </c>
      <c r="D448" s="274">
        <v>991264.55999999982</v>
      </c>
    </row>
    <row r="449" spans="1:4" ht="15" customHeight="1">
      <c r="A449" s="235" t="s">
        <v>1420</v>
      </c>
      <c r="B449" s="146" t="s">
        <v>1436</v>
      </c>
      <c r="C449" s="179" t="s">
        <v>174</v>
      </c>
      <c r="D449" s="274">
        <v>2136960</v>
      </c>
    </row>
    <row r="450" spans="1:4" ht="15" customHeight="1">
      <c r="A450" s="235" t="s">
        <v>1421</v>
      </c>
      <c r="B450" s="146" t="s">
        <v>1437</v>
      </c>
      <c r="C450" s="179" t="s">
        <v>174</v>
      </c>
      <c r="D450" s="274">
        <v>1930896</v>
      </c>
    </row>
    <row r="451" spans="1:4" ht="15" customHeight="1">
      <c r="A451" s="235" t="s">
        <v>1422</v>
      </c>
      <c r="B451" s="146" t="s">
        <v>1438</v>
      </c>
      <c r="C451" s="179" t="s">
        <v>174</v>
      </c>
      <c r="D451" s="274">
        <v>1045428.6927235952</v>
      </c>
    </row>
    <row r="452" spans="1:4" ht="15" customHeight="1">
      <c r="A452" s="235" t="s">
        <v>1423</v>
      </c>
      <c r="B452" s="146" t="s">
        <v>1439</v>
      </c>
      <c r="C452" s="179" t="s">
        <v>174</v>
      </c>
      <c r="D452" s="274">
        <v>5121920</v>
      </c>
    </row>
    <row r="453" spans="1:4" ht="15" customHeight="1">
      <c r="A453" s="235" t="s">
        <v>1424</v>
      </c>
      <c r="B453" s="146" t="s">
        <v>1685</v>
      </c>
      <c r="C453" s="179" t="s">
        <v>174</v>
      </c>
      <c r="D453" s="274">
        <v>27980.880000000001</v>
      </c>
    </row>
    <row r="454" spans="1:4" ht="15" customHeight="1">
      <c r="A454" s="235" t="s">
        <v>1425</v>
      </c>
      <c r="B454" s="146" t="s">
        <v>1440</v>
      </c>
      <c r="C454" s="179" t="s">
        <v>174</v>
      </c>
      <c r="D454" s="274">
        <v>6459.7685950413224</v>
      </c>
    </row>
    <row r="455" spans="1:4" ht="15" customHeight="1">
      <c r="A455" s="235" t="s">
        <v>1426</v>
      </c>
      <c r="B455" s="146" t="s">
        <v>1441</v>
      </c>
      <c r="C455" s="179" t="s">
        <v>174</v>
      </c>
      <c r="D455" s="274">
        <v>20703.689999999999</v>
      </c>
    </row>
    <row r="456" spans="1:4" ht="15" customHeight="1">
      <c r="A456" s="235" t="s">
        <v>1427</v>
      </c>
      <c r="B456" s="146" t="s">
        <v>1442</v>
      </c>
      <c r="C456" s="179" t="s">
        <v>174</v>
      </c>
      <c r="D456" s="274">
        <v>90522.98000000001</v>
      </c>
    </row>
    <row r="457" spans="1:4" ht="15" customHeight="1">
      <c r="A457" s="236" t="s">
        <v>1428</v>
      </c>
      <c r="B457" s="147" t="s">
        <v>1443</v>
      </c>
      <c r="C457" s="180" t="s">
        <v>174</v>
      </c>
      <c r="D457" s="274">
        <v>1021351.2226631999</v>
      </c>
    </row>
    <row r="458" spans="1:4" ht="15" customHeight="1">
      <c r="A458" s="235" t="s">
        <v>1429</v>
      </c>
      <c r="B458" s="146" t="s">
        <v>1444</v>
      </c>
      <c r="C458" s="179" t="s">
        <v>174</v>
      </c>
      <c r="D458" s="274">
        <v>21257.294565671997</v>
      </c>
    </row>
    <row r="459" spans="1:4" ht="15" customHeight="1">
      <c r="A459" s="235" t="s">
        <v>1430</v>
      </c>
      <c r="B459" s="146" t="s">
        <v>1445</v>
      </c>
      <c r="C459" s="179" t="s">
        <v>174</v>
      </c>
      <c r="D459" s="274">
        <v>206513.44999999998</v>
      </c>
    </row>
    <row r="460" spans="1:4" ht="15" customHeight="1">
      <c r="A460" s="235" t="s">
        <v>1431</v>
      </c>
      <c r="B460" s="146" t="s">
        <v>1446</v>
      </c>
      <c r="C460" s="179" t="s">
        <v>174</v>
      </c>
      <c r="D460" s="274">
        <v>206513.44999999998</v>
      </c>
    </row>
    <row r="461" spans="1:4" ht="15" customHeight="1">
      <c r="A461" s="235" t="s">
        <v>1432</v>
      </c>
      <c r="B461" s="146" t="s">
        <v>1447</v>
      </c>
      <c r="C461" s="179" t="s">
        <v>174</v>
      </c>
      <c r="D461" s="274">
        <v>153984.6</v>
      </c>
    </row>
    <row r="462" spans="1:4" ht="15" customHeight="1">
      <c r="A462" s="235" t="s">
        <v>1433</v>
      </c>
      <c r="B462" s="146" t="s">
        <v>1448</v>
      </c>
      <c r="C462" s="179" t="s">
        <v>174</v>
      </c>
      <c r="D462" s="274">
        <v>426956.34009600006</v>
      </c>
    </row>
    <row r="463" spans="1:4" ht="15" customHeight="1" thickBot="1">
      <c r="A463" s="237" t="s">
        <v>1434</v>
      </c>
      <c r="B463" s="148" t="s">
        <v>1449</v>
      </c>
      <c r="C463" s="181" t="s">
        <v>174</v>
      </c>
      <c r="D463" s="274">
        <v>298567.34432000003</v>
      </c>
    </row>
    <row r="464" spans="1:4" ht="15" customHeight="1">
      <c r="A464" s="238" t="s">
        <v>994</v>
      </c>
      <c r="B464" s="145" t="s">
        <v>1455</v>
      </c>
      <c r="C464" s="178" t="s">
        <v>1749</v>
      </c>
      <c r="D464" s="274">
        <v>1811.8524</v>
      </c>
    </row>
    <row r="465" spans="1:4" ht="15" customHeight="1">
      <c r="A465" s="239" t="s">
        <v>1456</v>
      </c>
      <c r="B465" s="146" t="s">
        <v>1467</v>
      </c>
      <c r="C465" s="182" t="s">
        <v>174</v>
      </c>
      <c r="D465" s="274">
        <v>3694.2148760330579</v>
      </c>
    </row>
    <row r="466" spans="1:4" ht="15" customHeight="1">
      <c r="A466" s="239" t="s">
        <v>1457</v>
      </c>
      <c r="B466" s="146" t="s">
        <v>1468</v>
      </c>
      <c r="C466" s="182" t="s">
        <v>174</v>
      </c>
      <c r="D466" s="274">
        <v>462.44343891402718</v>
      </c>
    </row>
    <row r="467" spans="1:4" ht="15" customHeight="1">
      <c r="A467" s="239" t="s">
        <v>1458</v>
      </c>
      <c r="B467" s="146" t="s">
        <v>1469</v>
      </c>
      <c r="C467" s="182" t="s">
        <v>174</v>
      </c>
      <c r="D467" s="274">
        <v>498.6425339366516</v>
      </c>
    </row>
    <row r="468" spans="1:4" ht="15" customHeight="1">
      <c r="A468" s="239" t="s">
        <v>1459</v>
      </c>
      <c r="B468" s="146" t="s">
        <v>1470</v>
      </c>
      <c r="C468" s="182" t="s">
        <v>174</v>
      </c>
      <c r="D468" s="274">
        <v>46.28</v>
      </c>
    </row>
    <row r="469" spans="1:4" ht="15" customHeight="1">
      <c r="A469" s="239" t="s">
        <v>1460</v>
      </c>
      <c r="B469" s="146" t="s">
        <v>1471</v>
      </c>
      <c r="C469" s="182" t="s">
        <v>174</v>
      </c>
      <c r="D469" s="274">
        <v>178.28054298642533</v>
      </c>
    </row>
    <row r="470" spans="1:4" ht="15" customHeight="1">
      <c r="A470" s="239" t="s">
        <v>1461</v>
      </c>
      <c r="B470" s="146" t="s">
        <v>1472</v>
      </c>
      <c r="C470" s="182" t="s">
        <v>174</v>
      </c>
      <c r="D470" s="274">
        <v>18.099547511312217</v>
      </c>
    </row>
    <row r="471" spans="1:4" ht="15" customHeight="1">
      <c r="A471" s="239" t="s">
        <v>1462</v>
      </c>
      <c r="B471" s="146" t="s">
        <v>1473</v>
      </c>
      <c r="C471" s="182" t="s">
        <v>174</v>
      </c>
      <c r="D471" s="274">
        <v>105.88235294117648</v>
      </c>
    </row>
    <row r="472" spans="1:4" ht="15" customHeight="1">
      <c r="A472" s="239" t="s">
        <v>1463</v>
      </c>
      <c r="B472" s="146" t="s">
        <v>1474</v>
      </c>
      <c r="C472" s="182" t="s">
        <v>174</v>
      </c>
      <c r="D472" s="274">
        <v>24.79</v>
      </c>
    </row>
    <row r="473" spans="1:4" ht="15" customHeight="1">
      <c r="A473" s="239" t="s">
        <v>1464</v>
      </c>
      <c r="B473" s="146" t="s">
        <v>1475</v>
      </c>
      <c r="C473" s="182" t="s">
        <v>174</v>
      </c>
      <c r="D473" s="274">
        <v>809.95475113122177</v>
      </c>
    </row>
    <row r="474" spans="1:4" ht="15" customHeight="1">
      <c r="A474" s="239" t="s">
        <v>1465</v>
      </c>
      <c r="B474" s="146" t="s">
        <v>1476</v>
      </c>
      <c r="C474" s="182" t="s">
        <v>174</v>
      </c>
      <c r="D474" s="274">
        <v>2113</v>
      </c>
    </row>
    <row r="475" spans="1:4" ht="15" customHeight="1" thickBot="1">
      <c r="A475" s="240" t="s">
        <v>1466</v>
      </c>
      <c r="B475" s="148" t="s">
        <v>1477</v>
      </c>
      <c r="C475" s="183" t="s">
        <v>174</v>
      </c>
      <c r="D475" s="274">
        <v>3501</v>
      </c>
    </row>
    <row r="476" spans="1:4" ht="15" customHeight="1">
      <c r="A476" s="241" t="s">
        <v>1494</v>
      </c>
      <c r="B476" s="168" t="s">
        <v>1403</v>
      </c>
      <c r="C476" s="184" t="s">
        <v>1749</v>
      </c>
      <c r="D476" s="274">
        <v>3.0294000000000003</v>
      </c>
    </row>
    <row r="477" spans="1:4" ht="15" customHeight="1">
      <c r="A477" s="179" t="s">
        <v>1495</v>
      </c>
      <c r="B477" s="167" t="s">
        <v>1541</v>
      </c>
      <c r="C477" s="185" t="s">
        <v>174</v>
      </c>
      <c r="D477" s="274">
        <v>91.337603305785123</v>
      </c>
    </row>
    <row r="478" spans="1:4" ht="15" customHeight="1">
      <c r="A478" s="179" t="s">
        <v>1496</v>
      </c>
      <c r="B478" s="167" t="s">
        <v>1542</v>
      </c>
      <c r="C478" s="185" t="s">
        <v>174</v>
      </c>
      <c r="D478" s="274">
        <v>168.81756198347108</v>
      </c>
    </row>
    <row r="479" spans="1:4" ht="15" customHeight="1">
      <c r="A479" s="179" t="s">
        <v>1497</v>
      </c>
      <c r="B479" s="167" t="s">
        <v>1413</v>
      </c>
      <c r="C479" s="185" t="s">
        <v>1749</v>
      </c>
      <c r="D479" s="274">
        <v>7.8132000000000001</v>
      </c>
    </row>
    <row r="480" spans="1:4" ht="15" customHeight="1">
      <c r="A480" s="179" t="s">
        <v>1498</v>
      </c>
      <c r="B480" s="167" t="s">
        <v>1543</v>
      </c>
      <c r="C480" s="185" t="s">
        <v>1749</v>
      </c>
      <c r="D480" s="274">
        <v>4.74</v>
      </c>
    </row>
    <row r="481" spans="1:4" ht="15" customHeight="1">
      <c r="A481" s="179" t="s">
        <v>1499</v>
      </c>
      <c r="B481" s="167" t="s">
        <v>1544</v>
      </c>
      <c r="C481" s="185" t="s">
        <v>1749</v>
      </c>
      <c r="D481" s="274">
        <v>20.4222</v>
      </c>
    </row>
    <row r="482" spans="1:4" ht="15" customHeight="1">
      <c r="A482" s="179" t="s">
        <v>1500</v>
      </c>
      <c r="B482" s="167" t="s">
        <v>1545</v>
      </c>
      <c r="C482" s="185" t="s">
        <v>1749</v>
      </c>
      <c r="D482" s="274">
        <v>42.74</v>
      </c>
    </row>
    <row r="483" spans="1:4" ht="15" customHeight="1">
      <c r="A483" s="179" t="s">
        <v>1501</v>
      </c>
      <c r="B483" s="167" t="s">
        <v>1546</v>
      </c>
      <c r="C483" s="185" t="s">
        <v>1749</v>
      </c>
      <c r="D483" s="274">
        <v>2.8178999999999998</v>
      </c>
    </row>
    <row r="484" spans="1:4" ht="15" customHeight="1">
      <c r="A484" s="179" t="s">
        <v>1502</v>
      </c>
      <c r="B484" s="167" t="s">
        <v>1395</v>
      </c>
      <c r="C484" s="185" t="s">
        <v>174</v>
      </c>
      <c r="D484" s="274">
        <v>5.7569999999999997</v>
      </c>
    </row>
    <row r="485" spans="1:4" ht="15" customHeight="1">
      <c r="A485" s="179" t="s">
        <v>1503</v>
      </c>
      <c r="B485" s="167" t="s">
        <v>1394</v>
      </c>
      <c r="C485" s="185" t="s">
        <v>174</v>
      </c>
      <c r="D485" s="274">
        <v>2.5851239669421489</v>
      </c>
    </row>
    <row r="486" spans="1:4" ht="15" customHeight="1">
      <c r="A486" s="179" t="s">
        <v>1504</v>
      </c>
      <c r="B486" s="167" t="s">
        <v>1396</v>
      </c>
      <c r="C486" s="185" t="s">
        <v>174</v>
      </c>
      <c r="D486" s="274">
        <v>10.542</v>
      </c>
    </row>
    <row r="487" spans="1:4" ht="15" customHeight="1">
      <c r="A487" s="179" t="s">
        <v>1505</v>
      </c>
      <c r="B487" s="167" t="s">
        <v>1547</v>
      </c>
      <c r="C487" s="185" t="s">
        <v>174</v>
      </c>
      <c r="D487" s="274">
        <v>5.593</v>
      </c>
    </row>
    <row r="488" spans="1:4" ht="15" customHeight="1">
      <c r="A488" s="179" t="s">
        <v>1506</v>
      </c>
      <c r="B488" s="167" t="s">
        <v>1548</v>
      </c>
      <c r="C488" s="185" t="s">
        <v>174</v>
      </c>
      <c r="D488" s="274">
        <v>57.353925619834712</v>
      </c>
    </row>
    <row r="489" spans="1:4" ht="15" customHeight="1">
      <c r="A489" s="179" t="s">
        <v>1507</v>
      </c>
      <c r="B489" s="167" t="s">
        <v>1549</v>
      </c>
      <c r="C489" s="185" t="s">
        <v>174</v>
      </c>
      <c r="D489" s="274">
        <v>74.150000000000006</v>
      </c>
    </row>
    <row r="490" spans="1:4" ht="15" customHeight="1">
      <c r="A490" s="179" t="s">
        <v>1508</v>
      </c>
      <c r="B490" s="167" t="s">
        <v>1550</v>
      </c>
      <c r="C490" s="185" t="s">
        <v>174</v>
      </c>
      <c r="D490" s="274">
        <v>33.713800000000006</v>
      </c>
    </row>
    <row r="491" spans="1:4" ht="15" customHeight="1">
      <c r="A491" s="179" t="s">
        <v>1509</v>
      </c>
      <c r="B491" s="167" t="s">
        <v>1551</v>
      </c>
      <c r="C491" s="185" t="s">
        <v>174</v>
      </c>
      <c r="D491" s="274">
        <v>47.61054</v>
      </c>
    </row>
    <row r="492" spans="1:4" ht="15" customHeight="1">
      <c r="A492" s="179" t="s">
        <v>1510</v>
      </c>
      <c r="B492" s="167" t="s">
        <v>1381</v>
      </c>
      <c r="C492" s="185" t="s">
        <v>174</v>
      </c>
      <c r="D492" s="274">
        <v>59.633126999999995</v>
      </c>
    </row>
    <row r="493" spans="1:4" ht="15" customHeight="1">
      <c r="A493" s="179" t="s">
        <v>1511</v>
      </c>
      <c r="B493" s="167" t="s">
        <v>1552</v>
      </c>
      <c r="C493" s="185" t="s">
        <v>174</v>
      </c>
      <c r="D493" s="274">
        <v>7</v>
      </c>
    </row>
    <row r="494" spans="1:4" ht="15" customHeight="1">
      <c r="A494" s="179" t="s">
        <v>1512</v>
      </c>
      <c r="B494" s="167" t="s">
        <v>1553</v>
      </c>
      <c r="C494" s="185" t="s">
        <v>174</v>
      </c>
      <c r="D494" s="274">
        <v>5.9208677685950422</v>
      </c>
    </row>
    <row r="495" spans="1:4" ht="15" customHeight="1">
      <c r="A495" s="179" t="s">
        <v>1513</v>
      </c>
      <c r="B495" s="167" t="s">
        <v>1554</v>
      </c>
      <c r="C495" s="185" t="s">
        <v>1749</v>
      </c>
      <c r="D495" s="274">
        <v>2.3188000000000004</v>
      </c>
    </row>
    <row r="496" spans="1:4" ht="15" customHeight="1">
      <c r="A496" s="179" t="s">
        <v>1514</v>
      </c>
      <c r="B496" s="167" t="s">
        <v>1555</v>
      </c>
      <c r="C496" s="185" t="s">
        <v>174</v>
      </c>
      <c r="D496" s="274">
        <v>46.739280000000001</v>
      </c>
    </row>
    <row r="497" spans="1:4" ht="15" customHeight="1">
      <c r="A497" s="179" t="s">
        <v>1515</v>
      </c>
      <c r="B497" s="167" t="s">
        <v>1556</v>
      </c>
      <c r="C497" s="185" t="s">
        <v>174</v>
      </c>
      <c r="D497" s="274">
        <v>102.56838842975206</v>
      </c>
    </row>
    <row r="498" spans="1:4" ht="15" customHeight="1">
      <c r="A498" s="179" t="s">
        <v>1516</v>
      </c>
      <c r="B498" s="167" t="s">
        <v>1557</v>
      </c>
      <c r="C498" s="185" t="s">
        <v>174</v>
      </c>
      <c r="D498" s="274">
        <v>407.2195640000001</v>
      </c>
    </row>
    <row r="499" spans="1:4" ht="15" customHeight="1">
      <c r="A499" s="179" t="s">
        <v>1517</v>
      </c>
      <c r="B499" s="167" t="s">
        <v>1558</v>
      </c>
      <c r="C499" s="185" t="s">
        <v>174</v>
      </c>
      <c r="D499" s="274">
        <v>141.01646400000004</v>
      </c>
    </row>
    <row r="500" spans="1:4" ht="15" customHeight="1">
      <c r="A500" s="179" t="s">
        <v>1518</v>
      </c>
      <c r="B500" s="167" t="s">
        <v>1559</v>
      </c>
      <c r="C500" s="185" t="s">
        <v>174</v>
      </c>
      <c r="D500" s="274">
        <v>439.12700000000001</v>
      </c>
    </row>
    <row r="501" spans="1:4" ht="15" customHeight="1">
      <c r="A501" s="179" t="s">
        <v>1519</v>
      </c>
      <c r="B501" s="167" t="s">
        <v>1560</v>
      </c>
      <c r="C501" s="185" t="s">
        <v>174</v>
      </c>
      <c r="D501" s="274">
        <v>927.11199999999997</v>
      </c>
    </row>
    <row r="502" spans="1:4" ht="15" customHeight="1">
      <c r="A502" s="179" t="s">
        <v>1520</v>
      </c>
      <c r="B502" s="167" t="s">
        <v>1561</v>
      </c>
      <c r="C502" s="185" t="s">
        <v>174</v>
      </c>
      <c r="D502" s="274">
        <v>27.1265328</v>
      </c>
    </row>
    <row r="503" spans="1:4" ht="15" customHeight="1">
      <c r="A503" s="179" t="s">
        <v>1521</v>
      </c>
      <c r="B503" s="167" t="s">
        <v>1562</v>
      </c>
      <c r="C503" s="185" t="s">
        <v>174</v>
      </c>
      <c r="D503" s="274">
        <v>27.7007376</v>
      </c>
    </row>
    <row r="504" spans="1:4" ht="15" customHeight="1">
      <c r="A504" s="179" t="s">
        <v>1522</v>
      </c>
      <c r="B504" s="167" t="s">
        <v>1563</v>
      </c>
      <c r="C504" s="185" t="s">
        <v>174</v>
      </c>
      <c r="D504" s="274">
        <v>30.273926400000001</v>
      </c>
    </row>
    <row r="505" spans="1:4" ht="15" customHeight="1">
      <c r="A505" s="179" t="s">
        <v>1523</v>
      </c>
      <c r="B505" s="167" t="s">
        <v>1564</v>
      </c>
      <c r="C505" s="185" t="s">
        <v>174</v>
      </c>
      <c r="D505" s="274">
        <v>524.63388429752069</v>
      </c>
    </row>
    <row r="506" spans="1:4" ht="15" customHeight="1">
      <c r="A506" s="179" t="s">
        <v>1524</v>
      </c>
      <c r="B506" s="167" t="s">
        <v>1565</v>
      </c>
      <c r="C506" s="185" t="s">
        <v>174</v>
      </c>
      <c r="D506" s="274">
        <v>648.48512396694218</v>
      </c>
    </row>
    <row r="507" spans="1:4" ht="15" customHeight="1">
      <c r="A507" s="179" t="s">
        <v>1525</v>
      </c>
      <c r="B507" s="167" t="s">
        <v>1566</v>
      </c>
      <c r="C507" s="185" t="s">
        <v>174</v>
      </c>
      <c r="D507" s="274">
        <v>109.58199999999999</v>
      </c>
    </row>
    <row r="508" spans="1:4" ht="15" customHeight="1">
      <c r="A508" s="179" t="s">
        <v>1526</v>
      </c>
      <c r="B508" s="167" t="s">
        <v>1567</v>
      </c>
      <c r="C508" s="185" t="s">
        <v>174</v>
      </c>
      <c r="D508" s="274">
        <v>224.03819999999999</v>
      </c>
    </row>
    <row r="509" spans="1:4" ht="15" customHeight="1">
      <c r="A509" s="179" t="s">
        <v>1527</v>
      </c>
      <c r="B509" s="167" t="s">
        <v>1568</v>
      </c>
      <c r="C509" s="185" t="s">
        <v>174</v>
      </c>
      <c r="D509" s="274">
        <v>194.80879999999999</v>
      </c>
    </row>
    <row r="510" spans="1:4" ht="15" customHeight="1">
      <c r="A510" s="179" t="s">
        <v>1528</v>
      </c>
      <c r="B510" s="167" t="s">
        <v>1569</v>
      </c>
      <c r="C510" s="185" t="s">
        <v>174</v>
      </c>
      <c r="D510" s="274">
        <v>29.182200000000002</v>
      </c>
    </row>
    <row r="511" spans="1:4" ht="15" customHeight="1">
      <c r="A511" s="179" t="s">
        <v>1529</v>
      </c>
      <c r="B511" s="167" t="s">
        <v>1570</v>
      </c>
      <c r="C511" s="185" t="s">
        <v>174</v>
      </c>
      <c r="D511" s="274">
        <v>18360</v>
      </c>
    </row>
    <row r="512" spans="1:4" ht="15" customHeight="1">
      <c r="A512" s="179" t="s">
        <v>1530</v>
      </c>
      <c r="B512" s="167" t="s">
        <v>1571</v>
      </c>
      <c r="C512" s="185" t="s">
        <v>174</v>
      </c>
      <c r="D512" s="274">
        <v>13.475</v>
      </c>
    </row>
    <row r="513" spans="1:6" ht="15" customHeight="1">
      <c r="A513" s="179" t="s">
        <v>1531</v>
      </c>
      <c r="B513" s="167" t="s">
        <v>1246</v>
      </c>
      <c r="C513" s="185" t="s">
        <v>174</v>
      </c>
      <c r="D513" s="274">
        <v>82.56</v>
      </c>
    </row>
    <row r="514" spans="1:6" ht="15" customHeight="1">
      <c r="A514" s="179" t="s">
        <v>1532</v>
      </c>
      <c r="B514" s="167" t="s">
        <v>1572</v>
      </c>
      <c r="C514" s="185" t="s">
        <v>174</v>
      </c>
      <c r="D514" s="274">
        <v>241.07623966942148</v>
      </c>
    </row>
    <row r="515" spans="1:6" ht="15" customHeight="1">
      <c r="A515" s="179" t="s">
        <v>1533</v>
      </c>
      <c r="B515" s="167" t="s">
        <v>1253</v>
      </c>
      <c r="C515" s="185" t="s">
        <v>174</v>
      </c>
      <c r="D515" s="274">
        <v>5.2481404958677693</v>
      </c>
    </row>
    <row r="516" spans="1:6" ht="15" customHeight="1">
      <c r="A516" s="179" t="s">
        <v>1534</v>
      </c>
      <c r="B516" s="167" t="s">
        <v>1254</v>
      </c>
      <c r="C516" s="185" t="s">
        <v>174</v>
      </c>
      <c r="D516" s="274">
        <v>14.836103999999999</v>
      </c>
    </row>
    <row r="517" spans="1:6" ht="15" customHeight="1">
      <c r="A517" s="179" t="s">
        <v>1535</v>
      </c>
      <c r="B517" s="167" t="s">
        <v>1257</v>
      </c>
      <c r="C517" s="185" t="s">
        <v>174</v>
      </c>
      <c r="D517" s="274">
        <v>35.409999999999997</v>
      </c>
    </row>
    <row r="518" spans="1:6" ht="15" customHeight="1">
      <c r="A518" s="179" t="s">
        <v>1536</v>
      </c>
      <c r="B518" s="167" t="s">
        <v>1573</v>
      </c>
      <c r="C518" s="185" t="s">
        <v>174</v>
      </c>
      <c r="D518" s="274">
        <v>9.0030991735537196</v>
      </c>
    </row>
    <row r="519" spans="1:6" ht="15" customHeight="1">
      <c r="A519" s="179" t="s">
        <v>1537</v>
      </c>
      <c r="B519" s="167" t="s">
        <v>1259</v>
      </c>
      <c r="C519" s="185" t="s">
        <v>174</v>
      </c>
      <c r="D519" s="274">
        <v>11.180165289256198</v>
      </c>
    </row>
    <row r="520" spans="1:6" ht="15" customHeight="1">
      <c r="A520" s="179" t="s">
        <v>1538</v>
      </c>
      <c r="B520" s="167" t="s">
        <v>1261</v>
      </c>
      <c r="C520" s="185" t="s">
        <v>174</v>
      </c>
      <c r="D520" s="274">
        <v>2.3559917355371898</v>
      </c>
    </row>
    <row r="521" spans="1:6" ht="15" customHeight="1">
      <c r="A521" s="179" t="s">
        <v>1539</v>
      </c>
      <c r="B521" s="167" t="s">
        <v>1264</v>
      </c>
      <c r="C521" s="185" t="s">
        <v>174</v>
      </c>
      <c r="D521" s="274">
        <v>11.932851239669422</v>
      </c>
    </row>
    <row r="522" spans="1:6" ht="15" customHeight="1">
      <c r="A522" s="179" t="s">
        <v>1540</v>
      </c>
      <c r="B522" s="167" t="s">
        <v>1574</v>
      </c>
      <c r="C522" s="185" t="s">
        <v>174</v>
      </c>
      <c r="D522" s="274">
        <v>5.8343999999999996</v>
      </c>
    </row>
    <row r="523" spans="1:6" ht="15" customHeight="1">
      <c r="A523" s="179" t="s">
        <v>311</v>
      </c>
      <c r="B523" s="176" t="s">
        <v>310</v>
      </c>
      <c r="C523" s="177" t="s">
        <v>174</v>
      </c>
      <c r="D523" s="274">
        <v>544986</v>
      </c>
      <c r="E523" s="175" t="s">
        <v>174</v>
      </c>
      <c r="F523" s="175" t="s">
        <v>311</v>
      </c>
    </row>
    <row r="524" spans="1:6" ht="15" customHeight="1">
      <c r="A524" s="179" t="s">
        <v>313</v>
      </c>
      <c r="B524" s="176" t="s">
        <v>312</v>
      </c>
      <c r="C524" s="177" t="s">
        <v>174</v>
      </c>
      <c r="D524" s="274">
        <v>511344</v>
      </c>
      <c r="E524" s="175" t="s">
        <v>174</v>
      </c>
      <c r="F524" s="175" t="s">
        <v>313</v>
      </c>
    </row>
    <row r="525" spans="1:6" ht="15" customHeight="1">
      <c r="A525" s="179" t="s">
        <v>315</v>
      </c>
      <c r="B525" s="176" t="s">
        <v>314</v>
      </c>
      <c r="C525" s="177" t="s">
        <v>174</v>
      </c>
      <c r="D525" s="274">
        <v>555440</v>
      </c>
      <c r="E525" s="175" t="s">
        <v>174</v>
      </c>
      <c r="F525" s="175" t="s">
        <v>315</v>
      </c>
    </row>
    <row r="526" spans="1:6" ht="15" customHeight="1">
      <c r="A526" s="242" t="s">
        <v>1843</v>
      </c>
      <c r="B526" s="259" t="s">
        <v>1841</v>
      </c>
      <c r="C526" s="126" t="s">
        <v>174</v>
      </c>
      <c r="D526" s="274">
        <v>2739.4876033057853</v>
      </c>
    </row>
    <row r="527" spans="1:6" ht="15" customHeight="1">
      <c r="A527" s="242" t="s">
        <v>1844</v>
      </c>
      <c r="B527" s="259" t="s">
        <v>1842</v>
      </c>
      <c r="C527" s="126" t="s">
        <v>174</v>
      </c>
      <c r="D527" s="274">
        <v>3043.7190082644629</v>
      </c>
    </row>
    <row r="528" spans="1:6" ht="15" customHeight="1">
      <c r="A528" s="243" t="s">
        <v>1735</v>
      </c>
      <c r="B528" s="198" t="s">
        <v>1734</v>
      </c>
      <c r="C528" s="202" t="s">
        <v>1749</v>
      </c>
      <c r="D528" s="274">
        <v>3429.4314999999997</v>
      </c>
      <c r="E528" s="248"/>
    </row>
    <row r="529" spans="1:5" ht="15" customHeight="1">
      <c r="A529" s="243" t="s">
        <v>1737</v>
      </c>
      <c r="B529" s="198" t="s">
        <v>1736</v>
      </c>
      <c r="C529" s="202" t="s">
        <v>1749</v>
      </c>
      <c r="D529" s="274">
        <v>4476.8649999999998</v>
      </c>
      <c r="E529" s="248"/>
    </row>
    <row r="530" spans="1:5" ht="15" customHeight="1">
      <c r="A530" s="243" t="s">
        <v>1739</v>
      </c>
      <c r="B530" s="198" t="s">
        <v>1738</v>
      </c>
      <c r="C530" s="202" t="s">
        <v>1749</v>
      </c>
      <c r="D530" s="274">
        <v>4606.8384999999989</v>
      </c>
      <c r="E530" s="248"/>
    </row>
    <row r="531" spans="1:5" ht="15" customHeight="1" thickBot="1">
      <c r="A531" s="204" t="s">
        <v>420</v>
      </c>
      <c r="B531" s="260" t="s">
        <v>421</v>
      </c>
      <c r="C531" s="204" t="s">
        <v>1749</v>
      </c>
      <c r="D531" s="274">
        <v>1718.4776469999999</v>
      </c>
    </row>
    <row r="532" spans="1:5" ht="15" customHeight="1">
      <c r="A532" s="206" t="s">
        <v>423</v>
      </c>
      <c r="B532" s="203" t="s">
        <v>424</v>
      </c>
      <c r="C532" s="206" t="s">
        <v>1904</v>
      </c>
      <c r="D532" s="274">
        <v>11.18</v>
      </c>
    </row>
    <row r="533" spans="1:5" ht="15" customHeight="1">
      <c r="A533" s="206" t="s">
        <v>425</v>
      </c>
      <c r="B533" s="203" t="s">
        <v>426</v>
      </c>
      <c r="C533" s="206" t="s">
        <v>1904</v>
      </c>
      <c r="D533" s="274">
        <v>10.763921131643299</v>
      </c>
    </row>
    <row r="534" spans="1:5" ht="15" customHeight="1">
      <c r="A534" s="206" t="s">
        <v>427</v>
      </c>
      <c r="B534" s="203" t="s">
        <v>428</v>
      </c>
      <c r="C534" s="206" t="s">
        <v>1904</v>
      </c>
      <c r="D534" s="274">
        <v>11.8561044</v>
      </c>
    </row>
    <row r="535" spans="1:5" ht="15" customHeight="1">
      <c r="A535" s="206" t="s">
        <v>429</v>
      </c>
      <c r="B535" s="203" t="s">
        <v>430</v>
      </c>
      <c r="C535" s="206" t="s">
        <v>1904</v>
      </c>
      <c r="D535" s="274">
        <v>10.599735103441333</v>
      </c>
    </row>
    <row r="536" spans="1:5" ht="15" customHeight="1">
      <c r="A536" s="206" t="s">
        <v>431</v>
      </c>
      <c r="B536" s="203" t="s">
        <v>432</v>
      </c>
      <c r="C536" s="206" t="s">
        <v>1904</v>
      </c>
      <c r="D536" s="274">
        <v>10.457372770769901</v>
      </c>
    </row>
    <row r="537" spans="1:5" ht="15" customHeight="1">
      <c r="A537" s="206" t="s">
        <v>433</v>
      </c>
      <c r="B537" s="203" t="s">
        <v>434</v>
      </c>
      <c r="C537" s="206" t="s">
        <v>1904</v>
      </c>
      <c r="D537" s="274">
        <v>11.641724368997096</v>
      </c>
    </row>
    <row r="538" spans="1:5" ht="15" customHeight="1">
      <c r="A538" s="206" t="s">
        <v>435</v>
      </c>
      <c r="B538" s="203" t="s">
        <v>436</v>
      </c>
      <c r="C538" s="206" t="s">
        <v>1904</v>
      </c>
      <c r="D538" s="274">
        <v>35.119834710743802</v>
      </c>
    </row>
    <row r="539" spans="1:5" ht="15" customHeight="1">
      <c r="A539" s="206" t="s">
        <v>437</v>
      </c>
      <c r="B539" s="203" t="s">
        <v>438</v>
      </c>
      <c r="C539" s="206" t="s">
        <v>1904</v>
      </c>
      <c r="D539" s="274">
        <v>20.134399999999999</v>
      </c>
    </row>
    <row r="540" spans="1:5" ht="15" customHeight="1">
      <c r="A540" s="206" t="s">
        <v>439</v>
      </c>
      <c r="B540" s="203" t="s">
        <v>440</v>
      </c>
      <c r="C540" s="206" t="s">
        <v>1904</v>
      </c>
      <c r="D540" s="274">
        <v>38.171800000000005</v>
      </c>
    </row>
    <row r="541" spans="1:5" ht="15" customHeight="1">
      <c r="A541" s="206" t="s">
        <v>441</v>
      </c>
      <c r="B541" s="203" t="s">
        <v>442</v>
      </c>
      <c r="C541" s="206" t="s">
        <v>1904</v>
      </c>
      <c r="D541" s="274">
        <v>14.7315</v>
      </c>
    </row>
    <row r="542" spans="1:5" ht="15" customHeight="1">
      <c r="A542" s="206" t="s">
        <v>443</v>
      </c>
      <c r="B542" s="203" t="s">
        <v>444</v>
      </c>
      <c r="C542" s="206" t="s">
        <v>1904</v>
      </c>
      <c r="D542" s="274">
        <v>21.356999999999999</v>
      </c>
    </row>
    <row r="543" spans="1:5" ht="15" customHeight="1">
      <c r="A543" s="206" t="s">
        <v>445</v>
      </c>
      <c r="B543" s="203" t="s">
        <v>446</v>
      </c>
      <c r="C543" s="206" t="s">
        <v>1749</v>
      </c>
      <c r="D543" s="274">
        <v>67.240748399999987</v>
      </c>
    </row>
    <row r="544" spans="1:5" ht="15" customHeight="1">
      <c r="A544" s="206" t="s">
        <v>447</v>
      </c>
      <c r="B544" s="203" t="s">
        <v>448</v>
      </c>
      <c r="C544" s="206" t="s">
        <v>174</v>
      </c>
      <c r="D544" s="274">
        <v>2.1215999999999999</v>
      </c>
    </row>
    <row r="545" spans="1:17" ht="15" customHeight="1">
      <c r="A545" s="206" t="s">
        <v>449</v>
      </c>
      <c r="B545" s="203" t="s">
        <v>450</v>
      </c>
      <c r="C545" s="206" t="s">
        <v>1904</v>
      </c>
      <c r="D545" s="274">
        <v>10.415013774104683</v>
      </c>
    </row>
    <row r="546" spans="1:17" ht="15" customHeight="1">
      <c r="A546" s="206" t="s">
        <v>451</v>
      </c>
      <c r="B546" s="203" t="s">
        <v>452</v>
      </c>
      <c r="C546" s="206" t="s">
        <v>1904</v>
      </c>
      <c r="D546" s="274">
        <v>11.561559444</v>
      </c>
    </row>
    <row r="547" spans="1:17" ht="15" customHeight="1">
      <c r="A547" s="206" t="s">
        <v>453</v>
      </c>
      <c r="B547" s="203" t="s">
        <v>454</v>
      </c>
      <c r="C547" s="206" t="s">
        <v>455</v>
      </c>
      <c r="D547" s="274">
        <v>31.607438016528924</v>
      </c>
    </row>
    <row r="548" spans="1:17" ht="15" customHeight="1">
      <c r="A548" s="206" t="s">
        <v>456</v>
      </c>
      <c r="B548" s="203" t="s">
        <v>457</v>
      </c>
      <c r="C548" s="206" t="s">
        <v>455</v>
      </c>
      <c r="D548" s="274">
        <v>55.239669421487605</v>
      </c>
    </row>
    <row r="549" spans="1:17" ht="15" customHeight="1">
      <c r="A549" s="206" t="s">
        <v>458</v>
      </c>
      <c r="B549" s="203" t="s">
        <v>459</v>
      </c>
      <c r="C549" s="206" t="s">
        <v>455</v>
      </c>
      <c r="D549" s="274">
        <v>123.8305785123967</v>
      </c>
    </row>
    <row r="550" spans="1:17" ht="15" customHeight="1">
      <c r="A550" s="206" t="s">
        <v>460</v>
      </c>
      <c r="B550" s="203" t="s">
        <v>461</v>
      </c>
      <c r="C550" s="206" t="s">
        <v>455</v>
      </c>
      <c r="D550" s="274">
        <v>217.67768595041326</v>
      </c>
    </row>
    <row r="551" spans="1:17" ht="15" customHeight="1">
      <c r="A551" s="206" t="s">
        <v>462</v>
      </c>
      <c r="B551" s="203" t="s">
        <v>463</v>
      </c>
      <c r="C551" s="206" t="s">
        <v>1904</v>
      </c>
      <c r="D551" s="274">
        <v>31.537190082644628</v>
      </c>
    </row>
    <row r="552" spans="1:17" ht="15" customHeight="1">
      <c r="A552" s="206" t="s">
        <v>464</v>
      </c>
      <c r="B552" s="203" t="s">
        <v>465</v>
      </c>
      <c r="C552" s="206" t="s">
        <v>1904</v>
      </c>
      <c r="D552" s="274">
        <v>52.669421487603302</v>
      </c>
    </row>
    <row r="553" spans="1:17" ht="15" customHeight="1">
      <c r="A553" s="206" t="s">
        <v>466</v>
      </c>
      <c r="B553" s="203" t="s">
        <v>467</v>
      </c>
      <c r="C553" s="206" t="s">
        <v>1749</v>
      </c>
      <c r="D553" s="274"/>
      <c r="Q553" s="408" t="s">
        <v>1973</v>
      </c>
    </row>
    <row r="554" spans="1:17" ht="15" customHeight="1">
      <c r="A554" s="206" t="s">
        <v>468</v>
      </c>
      <c r="B554" s="203" t="s">
        <v>469</v>
      </c>
      <c r="C554" s="206" t="s">
        <v>1749</v>
      </c>
      <c r="D554" s="274"/>
      <c r="Q554" s="408" t="s">
        <v>1973</v>
      </c>
    </row>
    <row r="555" spans="1:17" ht="15" customHeight="1">
      <c r="A555" s="206" t="s">
        <v>470</v>
      </c>
      <c r="B555" s="203" t="s">
        <v>471</v>
      </c>
      <c r="C555" s="206" t="s">
        <v>1749</v>
      </c>
      <c r="D555" s="274"/>
      <c r="Q555" s="408" t="s">
        <v>1973</v>
      </c>
    </row>
    <row r="556" spans="1:17" ht="15" customHeight="1">
      <c r="A556" s="206" t="s">
        <v>472</v>
      </c>
      <c r="B556" s="203" t="s">
        <v>473</v>
      </c>
      <c r="C556" s="206" t="s">
        <v>174</v>
      </c>
      <c r="D556" s="274">
        <v>3.63</v>
      </c>
    </row>
    <row r="557" spans="1:17" ht="15" customHeight="1">
      <c r="A557" s="206" t="s">
        <v>474</v>
      </c>
      <c r="B557" s="203" t="s">
        <v>475</v>
      </c>
      <c r="C557" s="206" t="s">
        <v>1749</v>
      </c>
      <c r="D557" s="274">
        <v>36.775482093663911</v>
      </c>
    </row>
    <row r="558" spans="1:17" ht="15" customHeight="1">
      <c r="A558" s="206" t="s">
        <v>476</v>
      </c>
      <c r="B558" s="203" t="s">
        <v>477</v>
      </c>
      <c r="C558" s="206" t="s">
        <v>1749</v>
      </c>
      <c r="D558" s="274">
        <v>11.887741046831957</v>
      </c>
    </row>
    <row r="559" spans="1:17" ht="15" customHeight="1">
      <c r="A559" s="206" t="s">
        <v>478</v>
      </c>
      <c r="B559" s="203" t="s">
        <v>479</v>
      </c>
      <c r="C559" s="206" t="s">
        <v>1749</v>
      </c>
      <c r="D559" s="274">
        <v>40.898071625344357</v>
      </c>
    </row>
    <row r="560" spans="1:17" ht="15" customHeight="1">
      <c r="A560" s="206" t="s">
        <v>480</v>
      </c>
      <c r="B560" s="203" t="s">
        <v>481</v>
      </c>
      <c r="C560" s="206" t="s">
        <v>1749</v>
      </c>
      <c r="D560" s="274">
        <v>30.21625344352617</v>
      </c>
    </row>
    <row r="561" spans="1:17" ht="15" customHeight="1">
      <c r="A561" s="206" t="s">
        <v>482</v>
      </c>
      <c r="B561" s="203" t="s">
        <v>483</v>
      </c>
      <c r="C561" s="206" t="s">
        <v>1749</v>
      </c>
      <c r="D561" s="274"/>
      <c r="Q561" s="408" t="s">
        <v>1973</v>
      </c>
    </row>
    <row r="562" spans="1:17" ht="15" customHeight="1">
      <c r="A562" s="206" t="s">
        <v>484</v>
      </c>
      <c r="B562" s="203" t="s">
        <v>485</v>
      </c>
      <c r="C562" s="206" t="s">
        <v>1749</v>
      </c>
      <c r="D562" s="274"/>
      <c r="Q562" s="408" t="s">
        <v>1973</v>
      </c>
    </row>
    <row r="563" spans="1:17" ht="15" customHeight="1">
      <c r="A563" s="206" t="s">
        <v>486</v>
      </c>
      <c r="B563" s="203" t="s">
        <v>487</v>
      </c>
      <c r="C563" s="206" t="s">
        <v>1749</v>
      </c>
      <c r="D563" s="274"/>
      <c r="Q563" s="408" t="s">
        <v>1973</v>
      </c>
    </row>
    <row r="564" spans="1:17" ht="15" customHeight="1">
      <c r="A564" s="206" t="s">
        <v>488</v>
      </c>
      <c r="B564" s="203" t="s">
        <v>489</v>
      </c>
      <c r="C564" s="206" t="s">
        <v>1749</v>
      </c>
      <c r="D564" s="274"/>
      <c r="Q564" s="408" t="s">
        <v>1973</v>
      </c>
    </row>
    <row r="565" spans="1:17" ht="15" customHeight="1">
      <c r="A565" s="206" t="s">
        <v>490</v>
      </c>
      <c r="B565" s="203" t="s">
        <v>491</v>
      </c>
      <c r="C565" s="206" t="s">
        <v>174</v>
      </c>
      <c r="D565" s="274">
        <v>38.165680000000002</v>
      </c>
    </row>
    <row r="566" spans="1:17" ht="15" customHeight="1">
      <c r="A566" s="206" t="s">
        <v>492</v>
      </c>
      <c r="B566" s="203" t="s">
        <v>493</v>
      </c>
      <c r="C566" s="206" t="s">
        <v>174</v>
      </c>
      <c r="D566" s="274">
        <v>27.628128000000004</v>
      </c>
    </row>
    <row r="567" spans="1:17" ht="15" customHeight="1">
      <c r="A567" s="206" t="s">
        <v>494</v>
      </c>
      <c r="B567" s="203" t="s">
        <v>495</v>
      </c>
      <c r="C567" s="206" t="s">
        <v>1876</v>
      </c>
      <c r="D567" s="274">
        <v>14.758267504570245</v>
      </c>
    </row>
    <row r="568" spans="1:17" ht="15" customHeight="1">
      <c r="A568" s="206" t="s">
        <v>37</v>
      </c>
      <c r="B568" s="203" t="s">
        <v>496</v>
      </c>
      <c r="C568" s="206" t="s">
        <v>174</v>
      </c>
      <c r="D568" s="274">
        <v>12.454545454545455</v>
      </c>
    </row>
    <row r="569" spans="1:17" ht="15" customHeight="1">
      <c r="A569" s="206" t="s">
        <v>497</v>
      </c>
      <c r="B569" s="203" t="s">
        <v>498</v>
      </c>
      <c r="C569" s="206" t="s">
        <v>1876</v>
      </c>
      <c r="D569" s="274">
        <v>42.7</v>
      </c>
    </row>
    <row r="570" spans="1:17" ht="15" customHeight="1">
      <c r="A570" s="206" t="s">
        <v>1879</v>
      </c>
      <c r="B570" s="203" t="s">
        <v>499</v>
      </c>
      <c r="C570" s="206" t="s">
        <v>344</v>
      </c>
      <c r="D570" s="274">
        <v>42.7</v>
      </c>
    </row>
    <row r="571" spans="1:17" ht="15" customHeight="1">
      <c r="A571" s="206" t="s">
        <v>500</v>
      </c>
      <c r="B571" s="203" t="s">
        <v>501</v>
      </c>
      <c r="C571" s="206" t="s">
        <v>344</v>
      </c>
      <c r="D571" s="274">
        <v>7.51</v>
      </c>
    </row>
    <row r="572" spans="1:17" ht="15" customHeight="1">
      <c r="A572" s="206" t="s">
        <v>502</v>
      </c>
      <c r="B572" s="203" t="s">
        <v>503</v>
      </c>
      <c r="C572" s="206" t="s">
        <v>1876</v>
      </c>
      <c r="D572" s="274">
        <v>34.270000000000003</v>
      </c>
    </row>
    <row r="573" spans="1:17" ht="15" customHeight="1">
      <c r="A573" s="206" t="s">
        <v>1877</v>
      </c>
      <c r="B573" s="203" t="s">
        <v>504</v>
      </c>
      <c r="C573" s="206" t="s">
        <v>1876</v>
      </c>
      <c r="D573" s="274">
        <v>32.024380165289259</v>
      </c>
    </row>
    <row r="574" spans="1:17" ht="15" customHeight="1">
      <c r="A574" s="206" t="s">
        <v>505</v>
      </c>
      <c r="B574" s="203" t="s">
        <v>1368</v>
      </c>
      <c r="C574" s="206" t="s">
        <v>1904</v>
      </c>
      <c r="D574" s="274">
        <v>6.26</v>
      </c>
    </row>
    <row r="575" spans="1:17" ht="15" customHeight="1">
      <c r="A575" s="206" t="s">
        <v>1029</v>
      </c>
      <c r="B575" s="203" t="s">
        <v>1030</v>
      </c>
      <c r="C575" s="206" t="s">
        <v>1876</v>
      </c>
      <c r="D575" s="274">
        <v>34.260371999999997</v>
      </c>
    </row>
    <row r="576" spans="1:17" ht="15" customHeight="1">
      <c r="A576" s="206" t="s">
        <v>506</v>
      </c>
      <c r="B576" s="203" t="s">
        <v>507</v>
      </c>
      <c r="C576" s="206" t="s">
        <v>1876</v>
      </c>
      <c r="D576" s="274">
        <v>12.330578512396695</v>
      </c>
    </row>
    <row r="577" spans="1:4" ht="15" customHeight="1">
      <c r="A577" s="206" t="s">
        <v>508</v>
      </c>
      <c r="B577" s="203" t="s">
        <v>509</v>
      </c>
      <c r="C577" s="206" t="s">
        <v>174</v>
      </c>
      <c r="D577" s="274">
        <v>42.396694214876035</v>
      </c>
    </row>
    <row r="578" spans="1:4" ht="15" customHeight="1">
      <c r="A578" s="206" t="s">
        <v>511</v>
      </c>
      <c r="B578" s="203" t="s">
        <v>512</v>
      </c>
      <c r="C578" s="206" t="s">
        <v>174</v>
      </c>
      <c r="D578" s="274">
        <v>210.74380165289256</v>
      </c>
    </row>
    <row r="579" spans="1:4" ht="15" customHeight="1">
      <c r="A579" s="206" t="s">
        <v>513</v>
      </c>
      <c r="B579" s="203" t="s">
        <v>514</v>
      </c>
      <c r="C579" s="206" t="s">
        <v>1922</v>
      </c>
      <c r="D579" s="274">
        <v>162.01377410468319</v>
      </c>
    </row>
    <row r="580" spans="1:4" ht="15" customHeight="1">
      <c r="A580" s="206" t="s">
        <v>515</v>
      </c>
      <c r="B580" s="203" t="s">
        <v>516</v>
      </c>
      <c r="C580" s="206" t="s">
        <v>1922</v>
      </c>
      <c r="D580" s="274">
        <v>173.86039000000002</v>
      </c>
    </row>
    <row r="581" spans="1:4" ht="15" customHeight="1">
      <c r="A581" s="206" t="s">
        <v>517</v>
      </c>
      <c r="B581" s="203" t="s">
        <v>518</v>
      </c>
      <c r="C581" s="206" t="s">
        <v>1876</v>
      </c>
      <c r="D581" s="274">
        <v>64.527999999999992</v>
      </c>
    </row>
    <row r="582" spans="1:4" ht="15" customHeight="1">
      <c r="A582" s="206" t="s">
        <v>519</v>
      </c>
      <c r="B582" s="203" t="s">
        <v>520</v>
      </c>
      <c r="C582" s="206" t="s">
        <v>174</v>
      </c>
      <c r="D582" s="274">
        <v>8.9404000000000003</v>
      </c>
    </row>
    <row r="583" spans="1:4" ht="15" customHeight="1">
      <c r="A583" s="206" t="s">
        <v>521</v>
      </c>
      <c r="B583" s="203" t="s">
        <v>522</v>
      </c>
      <c r="C583" s="206" t="s">
        <v>1749</v>
      </c>
      <c r="D583" s="274">
        <v>39.01043932144411</v>
      </c>
    </row>
    <row r="584" spans="1:4" ht="15" customHeight="1">
      <c r="A584" s="206" t="s">
        <v>523</v>
      </c>
      <c r="B584" s="203" t="s">
        <v>524</v>
      </c>
      <c r="C584" s="206" t="s">
        <v>1749</v>
      </c>
      <c r="D584" s="274">
        <v>42.52</v>
      </c>
    </row>
    <row r="585" spans="1:4" ht="15" customHeight="1">
      <c r="A585" s="206" t="s">
        <v>525</v>
      </c>
      <c r="B585" s="203" t="s">
        <v>526</v>
      </c>
      <c r="C585" s="206" t="s">
        <v>174</v>
      </c>
      <c r="D585" s="274">
        <v>238.96</v>
      </c>
    </row>
    <row r="586" spans="1:4" ht="15" customHeight="1">
      <c r="A586" s="206" t="s">
        <v>527</v>
      </c>
      <c r="B586" s="203" t="s">
        <v>528</v>
      </c>
      <c r="C586" s="206" t="s">
        <v>174</v>
      </c>
      <c r="D586" s="274">
        <v>235.38590000000002</v>
      </c>
    </row>
    <row r="587" spans="1:4" ht="15" customHeight="1">
      <c r="A587" s="206"/>
      <c r="B587" s="203"/>
      <c r="C587" s="206"/>
      <c r="D587" s="274">
        <v>807.43801652892569</v>
      </c>
    </row>
    <row r="588" spans="1:4" ht="15" customHeight="1">
      <c r="A588" s="206" t="s">
        <v>529</v>
      </c>
      <c r="B588" s="203" t="s">
        <v>530</v>
      </c>
      <c r="C588" s="206" t="s">
        <v>174</v>
      </c>
      <c r="D588" s="274">
        <v>2792.4963300198874</v>
      </c>
    </row>
    <row r="589" spans="1:4" ht="15" customHeight="1">
      <c r="A589" s="206" t="s">
        <v>531</v>
      </c>
      <c r="B589" s="203" t="s">
        <v>532</v>
      </c>
      <c r="C589" s="206" t="s">
        <v>174</v>
      </c>
      <c r="D589" s="274">
        <v>2598.69</v>
      </c>
    </row>
    <row r="590" spans="1:4" ht="15" customHeight="1">
      <c r="A590" s="206" t="s">
        <v>533</v>
      </c>
      <c r="B590" s="203" t="s">
        <v>534</v>
      </c>
      <c r="C590" s="206" t="s">
        <v>174</v>
      </c>
      <c r="D590" s="274">
        <v>2261.88</v>
      </c>
    </row>
    <row r="591" spans="1:4" ht="15" customHeight="1">
      <c r="A591" s="206" t="s">
        <v>535</v>
      </c>
      <c r="B591" s="203" t="s">
        <v>536</v>
      </c>
      <c r="C591" s="206" t="s">
        <v>174</v>
      </c>
      <c r="D591" s="274">
        <v>2665.64</v>
      </c>
    </row>
    <row r="592" spans="1:4" ht="15" customHeight="1">
      <c r="A592" s="206" t="s">
        <v>537</v>
      </c>
      <c r="B592" s="203" t="s">
        <v>538</v>
      </c>
      <c r="C592" s="206" t="s">
        <v>174</v>
      </c>
      <c r="D592" s="274">
        <v>505</v>
      </c>
    </row>
    <row r="593" spans="1:4" ht="15" customHeight="1">
      <c r="A593" s="206" t="s">
        <v>539</v>
      </c>
      <c r="B593" s="203" t="s">
        <v>540</v>
      </c>
      <c r="C593" s="206" t="s">
        <v>174</v>
      </c>
      <c r="D593" s="274">
        <v>586</v>
      </c>
    </row>
    <row r="594" spans="1:4" ht="15" customHeight="1">
      <c r="A594" s="206" t="s">
        <v>541</v>
      </c>
      <c r="B594" s="203" t="s">
        <v>542</v>
      </c>
      <c r="C594" s="206" t="s">
        <v>174</v>
      </c>
      <c r="D594" s="274">
        <v>1831.34</v>
      </c>
    </row>
    <row r="595" spans="1:4" ht="15" customHeight="1">
      <c r="A595" s="206" t="s">
        <v>543</v>
      </c>
      <c r="B595" s="203" t="s">
        <v>544</v>
      </c>
      <c r="C595" s="206" t="s">
        <v>174</v>
      </c>
      <c r="D595" s="274">
        <v>336.81</v>
      </c>
    </row>
    <row r="596" spans="1:4" ht="15" customHeight="1">
      <c r="A596" s="206" t="s">
        <v>545</v>
      </c>
      <c r="B596" s="203" t="s">
        <v>546</v>
      </c>
      <c r="C596" s="206" t="s">
        <v>174</v>
      </c>
      <c r="D596" s="274">
        <v>332.69</v>
      </c>
    </row>
    <row r="597" spans="1:4" ht="15" customHeight="1">
      <c r="A597" s="206" t="s">
        <v>547</v>
      </c>
      <c r="B597" s="203" t="s">
        <v>548</v>
      </c>
      <c r="C597" s="206" t="s">
        <v>174</v>
      </c>
      <c r="D597" s="274">
        <v>328.57</v>
      </c>
    </row>
    <row r="598" spans="1:4" ht="15" customHeight="1">
      <c r="A598" s="206" t="s">
        <v>549</v>
      </c>
      <c r="B598" s="203" t="s">
        <v>550</v>
      </c>
      <c r="C598" s="206" t="s">
        <v>174</v>
      </c>
      <c r="D598" s="274">
        <v>1466.72</v>
      </c>
    </row>
    <row r="599" spans="1:4" ht="15" customHeight="1">
      <c r="A599" s="206" t="s">
        <v>551</v>
      </c>
      <c r="B599" s="203" t="s">
        <v>552</v>
      </c>
      <c r="C599" s="206" t="s">
        <v>174</v>
      </c>
      <c r="D599" s="274">
        <v>3372.1735537190084</v>
      </c>
    </row>
    <row r="600" spans="1:4" ht="15" customHeight="1">
      <c r="A600" s="206" t="s">
        <v>553</v>
      </c>
      <c r="B600" s="203" t="s">
        <v>554</v>
      </c>
      <c r="C600" s="206" t="s">
        <v>174</v>
      </c>
      <c r="D600" s="274">
        <v>202.31818181818181</v>
      </c>
    </row>
    <row r="601" spans="1:4" ht="15" customHeight="1">
      <c r="A601" s="206" t="s">
        <v>555</v>
      </c>
      <c r="B601" s="203" t="s">
        <v>556</v>
      </c>
      <c r="C601" s="206" t="s">
        <v>174</v>
      </c>
      <c r="D601" s="274">
        <v>175.26859504132233</v>
      </c>
    </row>
    <row r="602" spans="1:4" ht="15" customHeight="1">
      <c r="A602" s="206" t="s">
        <v>557</v>
      </c>
      <c r="B602" s="203" t="s">
        <v>558</v>
      </c>
      <c r="C602" s="206" t="s">
        <v>559</v>
      </c>
      <c r="D602" s="274">
        <v>19.909502262443439</v>
      </c>
    </row>
    <row r="603" spans="1:4" ht="15" customHeight="1">
      <c r="A603" s="206" t="s">
        <v>560</v>
      </c>
      <c r="B603" s="203" t="s">
        <v>561</v>
      </c>
      <c r="C603" s="206" t="s">
        <v>174</v>
      </c>
      <c r="D603" s="274">
        <v>99.547511312217196</v>
      </c>
    </row>
    <row r="604" spans="1:4" ht="15" customHeight="1">
      <c r="A604" s="206" t="s">
        <v>562</v>
      </c>
      <c r="B604" s="203" t="s">
        <v>563</v>
      </c>
      <c r="C604" s="206" t="s">
        <v>174</v>
      </c>
      <c r="D604" s="274">
        <v>419.39340000000004</v>
      </c>
    </row>
    <row r="605" spans="1:4" ht="15" customHeight="1">
      <c r="A605" s="206" t="s">
        <v>564</v>
      </c>
      <c r="B605" s="203" t="s">
        <v>565</v>
      </c>
      <c r="C605" s="206" t="s">
        <v>174</v>
      </c>
      <c r="D605" s="274">
        <v>175.42975206611573</v>
      </c>
    </row>
    <row r="606" spans="1:4" ht="15" customHeight="1">
      <c r="A606" s="206" t="s">
        <v>566</v>
      </c>
      <c r="B606" s="203" t="s">
        <v>567</v>
      </c>
      <c r="C606" s="206" t="s">
        <v>174</v>
      </c>
      <c r="D606" s="274">
        <v>526.28925619834706</v>
      </c>
    </row>
    <row r="607" spans="1:4" ht="15" customHeight="1">
      <c r="A607" s="206" t="s">
        <v>568</v>
      </c>
      <c r="B607" s="203" t="s">
        <v>569</v>
      </c>
      <c r="C607" s="206" t="s">
        <v>174</v>
      </c>
      <c r="D607" s="274">
        <v>315.77685950413223</v>
      </c>
    </row>
    <row r="608" spans="1:4" ht="15" customHeight="1">
      <c r="A608" s="206" t="s">
        <v>570</v>
      </c>
      <c r="B608" s="203" t="s">
        <v>571</v>
      </c>
      <c r="C608" s="206" t="s">
        <v>174</v>
      </c>
      <c r="D608" s="274">
        <v>287.16682200000002</v>
      </c>
    </row>
    <row r="609" spans="1:4" ht="15" customHeight="1">
      <c r="A609" s="206" t="s">
        <v>572</v>
      </c>
      <c r="B609" s="203" t="s">
        <v>573</v>
      </c>
      <c r="C609" s="206" t="s">
        <v>559</v>
      </c>
      <c r="D609" s="274">
        <v>24.477203305785125</v>
      </c>
    </row>
    <row r="610" spans="1:4" ht="15" customHeight="1">
      <c r="A610" s="206" t="s">
        <v>574</v>
      </c>
      <c r="B610" s="203" t="s">
        <v>1403</v>
      </c>
      <c r="C610" s="206" t="s">
        <v>1749</v>
      </c>
      <c r="D610" s="274">
        <v>3.0294000000000003</v>
      </c>
    </row>
    <row r="611" spans="1:4" ht="15" customHeight="1">
      <c r="A611" s="206" t="s">
        <v>575</v>
      </c>
      <c r="B611" s="203" t="s">
        <v>576</v>
      </c>
      <c r="C611" s="206" t="s">
        <v>174</v>
      </c>
      <c r="D611" s="274">
        <v>1000</v>
      </c>
    </row>
    <row r="612" spans="1:4" ht="15" customHeight="1">
      <c r="A612" s="206" t="s">
        <v>577</v>
      </c>
      <c r="B612" s="203" t="s">
        <v>1541</v>
      </c>
      <c r="C612" s="206" t="s">
        <v>174</v>
      </c>
      <c r="D612" s="274">
        <v>91.337603305785123</v>
      </c>
    </row>
    <row r="613" spans="1:4" ht="15" customHeight="1">
      <c r="A613" s="206" t="s">
        <v>578</v>
      </c>
      <c r="B613" s="203" t="s">
        <v>1542</v>
      </c>
      <c r="C613" s="206" t="s">
        <v>174</v>
      </c>
      <c r="D613" s="274">
        <v>168.81756198347108</v>
      </c>
    </row>
    <row r="614" spans="1:4" ht="15" customHeight="1">
      <c r="A614" s="206" t="s">
        <v>579</v>
      </c>
      <c r="B614" s="203" t="s">
        <v>1413</v>
      </c>
      <c r="C614" s="206" t="s">
        <v>1749</v>
      </c>
      <c r="D614" s="274">
        <v>7.8132000000000001</v>
      </c>
    </row>
    <row r="615" spans="1:4" ht="15" customHeight="1">
      <c r="A615" s="206" t="s">
        <v>580</v>
      </c>
      <c r="B615" s="203" t="s">
        <v>1543</v>
      </c>
      <c r="C615" s="206" t="s">
        <v>1749</v>
      </c>
      <c r="D615" s="274">
        <v>4.74</v>
      </c>
    </row>
    <row r="616" spans="1:4" ht="15" customHeight="1">
      <c r="A616" s="206" t="s">
        <v>581</v>
      </c>
      <c r="B616" s="203" t="s">
        <v>1544</v>
      </c>
      <c r="C616" s="206" t="s">
        <v>1749</v>
      </c>
      <c r="D616" s="274">
        <v>20.4222</v>
      </c>
    </row>
    <row r="617" spans="1:4" ht="15" customHeight="1">
      <c r="A617" s="206" t="s">
        <v>582</v>
      </c>
      <c r="B617" s="203" t="s">
        <v>1545</v>
      </c>
      <c r="C617" s="206" t="s">
        <v>1749</v>
      </c>
      <c r="D617" s="274">
        <v>42.74</v>
      </c>
    </row>
    <row r="618" spans="1:4" ht="15" customHeight="1">
      <c r="A618" s="206" t="s">
        <v>583</v>
      </c>
      <c r="B618" s="203" t="s">
        <v>584</v>
      </c>
      <c r="C618" s="206" t="s">
        <v>1749</v>
      </c>
      <c r="D618" s="274">
        <v>11.673288000000001</v>
      </c>
    </row>
    <row r="619" spans="1:4" ht="15" customHeight="1">
      <c r="A619" s="206" t="s">
        <v>585</v>
      </c>
      <c r="B619" s="203" t="s">
        <v>1546</v>
      </c>
      <c r="C619" s="206" t="s">
        <v>1749</v>
      </c>
      <c r="D619" s="274">
        <v>2.8178999999999998</v>
      </c>
    </row>
    <row r="620" spans="1:4" ht="15" customHeight="1">
      <c r="A620" s="206" t="s">
        <v>586</v>
      </c>
      <c r="B620" s="203" t="s">
        <v>587</v>
      </c>
      <c r="C620" s="206" t="s">
        <v>1749</v>
      </c>
      <c r="D620" s="274">
        <v>2.6961659999999998</v>
      </c>
    </row>
    <row r="621" spans="1:4" ht="15" customHeight="1">
      <c r="A621" s="206" t="s">
        <v>588</v>
      </c>
      <c r="B621" s="203" t="s">
        <v>589</v>
      </c>
      <c r="C621" s="206" t="s">
        <v>1749</v>
      </c>
      <c r="D621" s="274">
        <v>6.8849999999999998</v>
      </c>
    </row>
    <row r="622" spans="1:4" ht="15" customHeight="1">
      <c r="A622" s="206" t="s">
        <v>590</v>
      </c>
      <c r="B622" s="203" t="s">
        <v>1395</v>
      </c>
      <c r="C622" s="206" t="s">
        <v>174</v>
      </c>
      <c r="D622" s="274">
        <v>5.7569999999999997</v>
      </c>
    </row>
    <row r="623" spans="1:4" ht="15" customHeight="1">
      <c r="A623" s="206" t="s">
        <v>591</v>
      </c>
      <c r="B623" s="203" t="s">
        <v>1394</v>
      </c>
      <c r="C623" s="206" t="s">
        <v>174</v>
      </c>
      <c r="D623" s="274">
        <v>2.5851239669421489</v>
      </c>
    </row>
    <row r="624" spans="1:4" ht="15" customHeight="1">
      <c r="A624" s="206" t="s">
        <v>592</v>
      </c>
      <c r="B624" s="203" t="s">
        <v>1396</v>
      </c>
      <c r="C624" s="206" t="s">
        <v>174</v>
      </c>
      <c r="D624" s="274">
        <v>10.542</v>
      </c>
    </row>
    <row r="625" spans="1:4" ht="15" customHeight="1">
      <c r="A625" s="206" t="s">
        <v>593</v>
      </c>
      <c r="B625" s="203" t="s">
        <v>1547</v>
      </c>
      <c r="C625" s="206" t="s">
        <v>174</v>
      </c>
      <c r="D625" s="274">
        <v>5.593</v>
      </c>
    </row>
    <row r="626" spans="1:4" ht="15" customHeight="1">
      <c r="A626" s="206" t="s">
        <v>594</v>
      </c>
      <c r="B626" s="203" t="s">
        <v>1548</v>
      </c>
      <c r="C626" s="206" t="s">
        <v>174</v>
      </c>
      <c r="D626" s="274">
        <v>57.353925619834712</v>
      </c>
    </row>
    <row r="627" spans="1:4" ht="15" customHeight="1">
      <c r="A627" s="206" t="s">
        <v>595</v>
      </c>
      <c r="B627" s="203" t="s">
        <v>1549</v>
      </c>
      <c r="C627" s="206" t="s">
        <v>174</v>
      </c>
      <c r="D627" s="274">
        <v>74.150000000000006</v>
      </c>
    </row>
    <row r="628" spans="1:4" ht="15" customHeight="1">
      <c r="A628" s="206" t="s">
        <v>596</v>
      </c>
      <c r="B628" s="203" t="s">
        <v>1550</v>
      </c>
      <c r="C628" s="206" t="s">
        <v>174</v>
      </c>
      <c r="D628" s="274">
        <v>33.713800000000006</v>
      </c>
    </row>
    <row r="629" spans="1:4" ht="15" customHeight="1">
      <c r="A629" s="206" t="s">
        <v>597</v>
      </c>
      <c r="B629" s="203" t="s">
        <v>1551</v>
      </c>
      <c r="C629" s="206" t="s">
        <v>174</v>
      </c>
      <c r="D629" s="274">
        <v>47.61054</v>
      </c>
    </row>
    <row r="630" spans="1:4" ht="15" customHeight="1">
      <c r="A630" s="206" t="s">
        <v>598</v>
      </c>
      <c r="B630" s="203" t="s">
        <v>1381</v>
      </c>
      <c r="C630" s="206" t="s">
        <v>174</v>
      </c>
      <c r="D630" s="274">
        <v>59.633126999999995</v>
      </c>
    </row>
    <row r="631" spans="1:4" ht="15" customHeight="1">
      <c r="A631" s="206" t="s">
        <v>599</v>
      </c>
      <c r="B631" s="203" t="s">
        <v>1552</v>
      </c>
      <c r="C631" s="206" t="s">
        <v>174</v>
      </c>
      <c r="D631" s="274">
        <v>7</v>
      </c>
    </row>
    <row r="632" spans="1:4" ht="15" customHeight="1">
      <c r="A632" s="206" t="s">
        <v>600</v>
      </c>
      <c r="B632" s="203" t="s">
        <v>1553</v>
      </c>
      <c r="C632" s="206" t="s">
        <v>174</v>
      </c>
      <c r="D632" s="274">
        <v>5.9208677685950422</v>
      </c>
    </row>
    <row r="633" spans="1:4" ht="15" customHeight="1">
      <c r="A633" s="206" t="s">
        <v>601</v>
      </c>
      <c r="B633" s="203" t="s">
        <v>1554</v>
      </c>
      <c r="C633" s="206" t="s">
        <v>1749</v>
      </c>
      <c r="D633" s="274">
        <v>2.3188000000000004</v>
      </c>
    </row>
    <row r="634" spans="1:4" ht="15" customHeight="1">
      <c r="A634" s="206" t="s">
        <v>602</v>
      </c>
      <c r="B634" s="203" t="s">
        <v>1555</v>
      </c>
      <c r="C634" s="206" t="s">
        <v>174</v>
      </c>
      <c r="D634" s="274">
        <v>46.739280000000001</v>
      </c>
    </row>
    <row r="635" spans="1:4" ht="15" customHeight="1">
      <c r="A635" s="206" t="s">
        <v>603</v>
      </c>
      <c r="B635" s="203" t="s">
        <v>1556</v>
      </c>
      <c r="C635" s="206" t="s">
        <v>174</v>
      </c>
      <c r="D635" s="274">
        <v>102.56838842975206</v>
      </c>
    </row>
    <row r="636" spans="1:4" ht="15" customHeight="1">
      <c r="A636" s="206" t="s">
        <v>604</v>
      </c>
      <c r="B636" s="203" t="s">
        <v>1557</v>
      </c>
      <c r="C636" s="206" t="s">
        <v>174</v>
      </c>
      <c r="D636" s="274">
        <v>407.2195640000001</v>
      </c>
    </row>
    <row r="637" spans="1:4" ht="15" customHeight="1">
      <c r="A637" s="206" t="s">
        <v>605</v>
      </c>
      <c r="B637" s="203" t="s">
        <v>1558</v>
      </c>
      <c r="C637" s="206" t="s">
        <v>174</v>
      </c>
      <c r="D637" s="274">
        <v>141.01646400000004</v>
      </c>
    </row>
    <row r="638" spans="1:4" ht="15" customHeight="1">
      <c r="A638" s="206" t="s">
        <v>606</v>
      </c>
      <c r="B638" s="203" t="s">
        <v>1559</v>
      </c>
      <c r="C638" s="206" t="s">
        <v>174</v>
      </c>
      <c r="D638" s="274">
        <v>439.12700000000001</v>
      </c>
    </row>
    <row r="639" spans="1:4" ht="15" customHeight="1">
      <c r="A639" s="206" t="s">
        <v>607</v>
      </c>
      <c r="B639" s="203" t="s">
        <v>1560</v>
      </c>
      <c r="C639" s="206" t="s">
        <v>174</v>
      </c>
      <c r="D639" s="274">
        <v>927.11199999999997</v>
      </c>
    </row>
    <row r="640" spans="1:4" ht="15" customHeight="1">
      <c r="A640" s="206" t="s">
        <v>608</v>
      </c>
      <c r="B640" s="203" t="s">
        <v>1561</v>
      </c>
      <c r="C640" s="206" t="s">
        <v>174</v>
      </c>
      <c r="D640" s="274">
        <v>27.1265328</v>
      </c>
    </row>
    <row r="641" spans="1:4" ht="15" customHeight="1">
      <c r="A641" s="206" t="s">
        <v>609</v>
      </c>
      <c r="B641" s="203" t="s">
        <v>1562</v>
      </c>
      <c r="C641" s="206" t="s">
        <v>174</v>
      </c>
      <c r="D641" s="274">
        <v>27.7007376</v>
      </c>
    </row>
    <row r="642" spans="1:4" ht="15" customHeight="1">
      <c r="A642" s="206" t="s">
        <v>610</v>
      </c>
      <c r="B642" s="203" t="s">
        <v>1563</v>
      </c>
      <c r="C642" s="206" t="s">
        <v>174</v>
      </c>
      <c r="D642" s="274">
        <v>30.273926400000001</v>
      </c>
    </row>
    <row r="643" spans="1:4" ht="15" customHeight="1">
      <c r="A643" s="206" t="s">
        <v>611</v>
      </c>
      <c r="B643" s="203" t="s">
        <v>1564</v>
      </c>
      <c r="C643" s="206" t="s">
        <v>174</v>
      </c>
      <c r="D643" s="274">
        <v>524.63388429752069</v>
      </c>
    </row>
    <row r="644" spans="1:4" ht="15" customHeight="1">
      <c r="A644" s="206" t="s">
        <v>612</v>
      </c>
      <c r="B644" s="203" t="s">
        <v>1565</v>
      </c>
      <c r="C644" s="206" t="s">
        <v>174</v>
      </c>
      <c r="D644" s="274">
        <v>648.48512396694218</v>
      </c>
    </row>
    <row r="645" spans="1:4" ht="15" customHeight="1">
      <c r="A645" s="206" t="s">
        <v>613</v>
      </c>
      <c r="B645" s="203" t="s">
        <v>1566</v>
      </c>
      <c r="C645" s="206" t="s">
        <v>174</v>
      </c>
      <c r="D645" s="274">
        <v>109.58199999999999</v>
      </c>
    </row>
    <row r="646" spans="1:4" ht="15" customHeight="1">
      <c r="A646" s="206" t="s">
        <v>614</v>
      </c>
      <c r="B646" s="203" t="s">
        <v>1567</v>
      </c>
      <c r="C646" s="206" t="s">
        <v>174</v>
      </c>
      <c r="D646" s="274">
        <v>224.03819999999999</v>
      </c>
    </row>
    <row r="647" spans="1:4" ht="15" customHeight="1">
      <c r="A647" s="206" t="s">
        <v>615</v>
      </c>
      <c r="B647" s="203" t="s">
        <v>1568</v>
      </c>
      <c r="C647" s="206" t="s">
        <v>174</v>
      </c>
      <c r="D647" s="274">
        <v>194.80879999999999</v>
      </c>
    </row>
    <row r="648" spans="1:4" ht="15" customHeight="1">
      <c r="A648" s="206" t="s">
        <v>616</v>
      </c>
      <c r="B648" s="203" t="s">
        <v>1569</v>
      </c>
      <c r="C648" s="206" t="s">
        <v>174</v>
      </c>
      <c r="D648" s="274">
        <v>29.182200000000002</v>
      </c>
    </row>
    <row r="649" spans="1:4" ht="15" customHeight="1">
      <c r="A649" s="206" t="s">
        <v>617</v>
      </c>
      <c r="B649" s="203" t="s">
        <v>1570</v>
      </c>
      <c r="C649" s="206" t="s">
        <v>174</v>
      </c>
      <c r="D649" s="274">
        <v>18360</v>
      </c>
    </row>
    <row r="650" spans="1:4" ht="15" customHeight="1">
      <c r="A650" s="206" t="s">
        <v>618</v>
      </c>
      <c r="B650" s="203" t="s">
        <v>1571</v>
      </c>
      <c r="C650" s="206" t="s">
        <v>174</v>
      </c>
      <c r="D650" s="274">
        <v>13.475</v>
      </c>
    </row>
    <row r="651" spans="1:4" ht="15" customHeight="1">
      <c r="A651" s="206" t="s">
        <v>619</v>
      </c>
      <c r="B651" s="203" t="s">
        <v>1246</v>
      </c>
      <c r="C651" s="206" t="s">
        <v>174</v>
      </c>
      <c r="D651" s="274">
        <v>82.56</v>
      </c>
    </row>
    <row r="652" spans="1:4" ht="15" customHeight="1">
      <c r="A652" s="206" t="s">
        <v>620</v>
      </c>
      <c r="B652" s="203" t="s">
        <v>1572</v>
      </c>
      <c r="C652" s="206" t="s">
        <v>174</v>
      </c>
      <c r="D652" s="274">
        <v>241.07623966942148</v>
      </c>
    </row>
    <row r="653" spans="1:4" ht="15" customHeight="1">
      <c r="A653" s="206" t="s">
        <v>621</v>
      </c>
      <c r="B653" s="203" t="s">
        <v>1253</v>
      </c>
      <c r="C653" s="206" t="s">
        <v>174</v>
      </c>
      <c r="D653" s="274">
        <v>5.2481404958677693</v>
      </c>
    </row>
    <row r="654" spans="1:4" ht="15" customHeight="1">
      <c r="A654" s="206" t="s">
        <v>622</v>
      </c>
      <c r="B654" s="203" t="s">
        <v>1254</v>
      </c>
      <c r="C654" s="206" t="s">
        <v>174</v>
      </c>
      <c r="D654" s="274">
        <v>14.836103999999999</v>
      </c>
    </row>
    <row r="655" spans="1:4" ht="15" customHeight="1">
      <c r="A655" s="206" t="s">
        <v>623</v>
      </c>
      <c r="B655" s="203" t="s">
        <v>1257</v>
      </c>
      <c r="C655" s="206" t="s">
        <v>174</v>
      </c>
      <c r="D655" s="274">
        <v>2.609822592</v>
      </c>
    </row>
    <row r="656" spans="1:4" ht="15" customHeight="1">
      <c r="A656" s="206" t="s">
        <v>624</v>
      </c>
      <c r="B656" s="203" t="s">
        <v>1573</v>
      </c>
      <c r="C656" s="206" t="s">
        <v>174</v>
      </c>
      <c r="D656" s="274">
        <v>9.0030991735537196</v>
      </c>
    </row>
    <row r="657" spans="1:4" ht="15" customHeight="1">
      <c r="A657" s="206" t="s">
        <v>625</v>
      </c>
      <c r="B657" s="203" t="s">
        <v>1259</v>
      </c>
      <c r="C657" s="206" t="s">
        <v>174</v>
      </c>
      <c r="D657" s="274">
        <v>11.180165289256198</v>
      </c>
    </row>
    <row r="658" spans="1:4" ht="15" customHeight="1">
      <c r="A658" s="206" t="s">
        <v>626</v>
      </c>
      <c r="B658" s="203" t="s">
        <v>1261</v>
      </c>
      <c r="C658" s="206" t="s">
        <v>174</v>
      </c>
      <c r="D658" s="274">
        <v>2.3559917355371898</v>
      </c>
    </row>
    <row r="659" spans="1:4" ht="15" customHeight="1">
      <c r="A659" s="206" t="s">
        <v>627</v>
      </c>
      <c r="B659" s="203" t="s">
        <v>1264</v>
      </c>
      <c r="C659" s="206" t="s">
        <v>174</v>
      </c>
      <c r="D659" s="274">
        <v>11.932851239669422</v>
      </c>
    </row>
    <row r="660" spans="1:4" ht="15" customHeight="1">
      <c r="A660" s="206" t="s">
        <v>628</v>
      </c>
      <c r="B660" s="203" t="s">
        <v>629</v>
      </c>
      <c r="C660" s="206" t="s">
        <v>1749</v>
      </c>
      <c r="D660" s="274">
        <v>3.8752694352000003</v>
      </c>
    </row>
    <row r="661" spans="1:4" ht="15" customHeight="1">
      <c r="A661" s="206" t="s">
        <v>630</v>
      </c>
      <c r="B661" s="203" t="s">
        <v>1574</v>
      </c>
      <c r="C661" s="206" t="s">
        <v>174</v>
      </c>
      <c r="D661" s="274">
        <v>5.8343999999999996</v>
      </c>
    </row>
    <row r="662" spans="1:4" ht="15" customHeight="1">
      <c r="A662" s="206" t="s">
        <v>631</v>
      </c>
      <c r="B662" s="203" t="s">
        <v>632</v>
      </c>
      <c r="C662" s="206" t="s">
        <v>174</v>
      </c>
      <c r="D662" s="274">
        <v>18.679667999999999</v>
      </c>
    </row>
    <row r="663" spans="1:4" ht="15" customHeight="1">
      <c r="A663" s="206" t="s">
        <v>1021</v>
      </c>
      <c r="B663" s="203" t="s">
        <v>633</v>
      </c>
      <c r="C663" s="206" t="s">
        <v>174</v>
      </c>
      <c r="D663" s="274">
        <v>106800.87276825999</v>
      </c>
    </row>
    <row r="664" spans="1:4" ht="15" customHeight="1">
      <c r="A664" s="206" t="s">
        <v>634</v>
      </c>
      <c r="B664" s="203" t="s">
        <v>635</v>
      </c>
      <c r="C664" s="206" t="s">
        <v>174</v>
      </c>
      <c r="D664" s="274">
        <v>589391.3424764009</v>
      </c>
    </row>
    <row r="665" spans="1:4" ht="15" customHeight="1">
      <c r="A665" s="206" t="s">
        <v>636</v>
      </c>
      <c r="B665" s="203" t="s">
        <v>637</v>
      </c>
      <c r="C665" s="206" t="s">
        <v>174</v>
      </c>
      <c r="D665" s="274">
        <v>96747.070448699975</v>
      </c>
    </row>
    <row r="666" spans="1:4" ht="15" customHeight="1">
      <c r="A666" s="206" t="s">
        <v>638</v>
      </c>
      <c r="B666" s="203" t="s">
        <v>639</v>
      </c>
      <c r="C666" s="206" t="s">
        <v>174</v>
      </c>
      <c r="D666" s="274">
        <v>22313.239316549996</v>
      </c>
    </row>
    <row r="667" spans="1:4" ht="15" customHeight="1">
      <c r="A667" s="206" t="s">
        <v>640</v>
      </c>
      <c r="B667" s="203" t="s">
        <v>641</v>
      </c>
      <c r="C667" s="206" t="s">
        <v>174</v>
      </c>
      <c r="D667" s="274">
        <v>15985.583605</v>
      </c>
    </row>
    <row r="668" spans="1:4" ht="15" customHeight="1">
      <c r="A668" s="206" t="s">
        <v>642</v>
      </c>
      <c r="B668" s="203" t="s">
        <v>643</v>
      </c>
      <c r="C668" s="206" t="s">
        <v>174</v>
      </c>
      <c r="D668" s="274">
        <v>233758.178106192</v>
      </c>
    </row>
    <row r="669" spans="1:4" ht="15" customHeight="1">
      <c r="A669" s="206" t="s">
        <v>644</v>
      </c>
      <c r="B669" s="203" t="s">
        <v>645</v>
      </c>
      <c r="C669" s="206" t="s">
        <v>174</v>
      </c>
      <c r="D669" s="274">
        <v>46042.366413999996</v>
      </c>
    </row>
    <row r="670" spans="1:4" ht="15" customHeight="1">
      <c r="A670" s="206" t="s">
        <v>646</v>
      </c>
      <c r="B670" s="203" t="s">
        <v>647</v>
      </c>
      <c r="C670" s="206" t="s">
        <v>174</v>
      </c>
      <c r="D670" s="274">
        <v>519672.89296800003</v>
      </c>
    </row>
    <row r="671" spans="1:4" ht="15" customHeight="1">
      <c r="A671" s="206" t="s">
        <v>648</v>
      </c>
      <c r="B671" s="203" t="s">
        <v>649</v>
      </c>
      <c r="C671" s="206" t="s">
        <v>174</v>
      </c>
      <c r="D671" s="274">
        <v>27891.313317</v>
      </c>
    </row>
    <row r="672" spans="1:4" ht="15" customHeight="1">
      <c r="A672" s="206" t="s">
        <v>650</v>
      </c>
      <c r="B672" s="203" t="s">
        <v>1445</v>
      </c>
      <c r="C672" s="206" t="s">
        <v>174</v>
      </c>
      <c r="D672" s="274">
        <v>170672.27272727271</v>
      </c>
    </row>
    <row r="673" spans="1:17" ht="15" customHeight="1">
      <c r="A673" s="206" t="s">
        <v>651</v>
      </c>
      <c r="B673" s="203" t="s">
        <v>1447</v>
      </c>
      <c r="C673" s="206" t="s">
        <v>174</v>
      </c>
      <c r="D673" s="274">
        <v>105433.61720000001</v>
      </c>
    </row>
    <row r="674" spans="1:17" ht="15" customHeight="1">
      <c r="A674" s="206" t="s">
        <v>652</v>
      </c>
      <c r="B674" s="203" t="s">
        <v>653</v>
      </c>
      <c r="C674" s="206" t="s">
        <v>174</v>
      </c>
      <c r="D674" s="274">
        <v>340746.02299999999</v>
      </c>
    </row>
    <row r="675" spans="1:17" ht="15" customHeight="1">
      <c r="A675" s="206" t="s">
        <v>654</v>
      </c>
      <c r="B675" s="203" t="s">
        <v>1449</v>
      </c>
      <c r="C675" s="206" t="s">
        <v>174</v>
      </c>
      <c r="D675" s="274">
        <v>223505.76349140002</v>
      </c>
    </row>
    <row r="676" spans="1:17" ht="15" customHeight="1">
      <c r="A676" s="206" t="s">
        <v>655</v>
      </c>
      <c r="B676" s="203" t="s">
        <v>656</v>
      </c>
      <c r="C676" s="206" t="s">
        <v>174</v>
      </c>
      <c r="D676" s="274">
        <v>209658.88851350153</v>
      </c>
    </row>
    <row r="677" spans="1:17" ht="15" customHeight="1">
      <c r="A677" s="206" t="s">
        <v>1039</v>
      </c>
      <c r="B677" s="203" t="s">
        <v>657</v>
      </c>
      <c r="C677" s="206" t="s">
        <v>174</v>
      </c>
      <c r="D677" s="274">
        <v>43167.508951447206</v>
      </c>
    </row>
    <row r="678" spans="1:17" ht="15" customHeight="1">
      <c r="A678" s="206" t="s">
        <v>658</v>
      </c>
      <c r="B678" s="203" t="s">
        <v>659</v>
      </c>
      <c r="C678" s="206" t="s">
        <v>174</v>
      </c>
      <c r="D678" s="274">
        <v>7613947.6199999992</v>
      </c>
    </row>
    <row r="679" spans="1:17" ht="15" customHeight="1">
      <c r="A679" s="206" t="s">
        <v>660</v>
      </c>
      <c r="B679" s="203" t="s">
        <v>661</v>
      </c>
      <c r="C679" s="206" t="s">
        <v>174</v>
      </c>
      <c r="D679" s="274">
        <v>229344.65524079997</v>
      </c>
    </row>
    <row r="680" spans="1:17" ht="15" customHeight="1">
      <c r="A680" s="206" t="s">
        <v>662</v>
      </c>
      <c r="B680" s="203" t="s">
        <v>663</v>
      </c>
      <c r="C680" s="206" t="s">
        <v>174</v>
      </c>
      <c r="D680" s="274">
        <v>3543641.7977166297</v>
      </c>
    </row>
    <row r="681" spans="1:17" ht="15" customHeight="1">
      <c r="A681" s="206" t="s">
        <v>664</v>
      </c>
      <c r="B681" s="203" t="s">
        <v>665</v>
      </c>
      <c r="C681" s="206" t="s">
        <v>174</v>
      </c>
      <c r="D681" s="274">
        <v>2077600</v>
      </c>
    </row>
    <row r="682" spans="1:17" ht="15" customHeight="1">
      <c r="A682" s="206" t="s">
        <v>666</v>
      </c>
      <c r="B682" s="203" t="s">
        <v>667</v>
      </c>
      <c r="C682" s="206" t="s">
        <v>174</v>
      </c>
      <c r="D682" s="274">
        <v>2000.888429752066</v>
      </c>
    </row>
    <row r="683" spans="1:17" ht="15" customHeight="1">
      <c r="A683" s="206" t="s">
        <v>668</v>
      </c>
      <c r="B683" s="203" t="s">
        <v>669</v>
      </c>
      <c r="C683" s="206" t="s">
        <v>174</v>
      </c>
      <c r="D683" s="274">
        <v>684.40156511999999</v>
      </c>
    </row>
    <row r="684" spans="1:17" ht="15" customHeight="1">
      <c r="A684" s="206" t="s">
        <v>670</v>
      </c>
      <c r="B684" s="203" t="s">
        <v>671</v>
      </c>
      <c r="C684" s="206" t="s">
        <v>174</v>
      </c>
      <c r="D684" s="274">
        <v>21061.983471074378</v>
      </c>
    </row>
    <row r="685" spans="1:17" ht="15" customHeight="1">
      <c r="A685" s="206" t="s">
        <v>672</v>
      </c>
      <c r="B685" s="203" t="s">
        <v>673</v>
      </c>
      <c r="C685" s="206" t="s">
        <v>344</v>
      </c>
      <c r="D685" s="274">
        <v>10.826446280991735</v>
      </c>
      <c r="Q685" s="426" t="s">
        <v>1978</v>
      </c>
    </row>
    <row r="686" spans="1:17" ht="15" customHeight="1">
      <c r="A686" s="206" t="s">
        <v>674</v>
      </c>
      <c r="B686" s="203" t="s">
        <v>675</v>
      </c>
      <c r="C686" s="206" t="s">
        <v>344</v>
      </c>
      <c r="D686" s="274">
        <v>10.578512396694215</v>
      </c>
    </row>
    <row r="687" spans="1:17" ht="15" customHeight="1">
      <c r="A687" s="206" t="s">
        <v>1028</v>
      </c>
      <c r="B687" s="203" t="s">
        <v>1027</v>
      </c>
      <c r="C687" s="206" t="s">
        <v>1904</v>
      </c>
      <c r="D687" s="274">
        <v>6.0936330000000005</v>
      </c>
    </row>
    <row r="688" spans="1:17" ht="15" customHeight="1">
      <c r="A688" s="206" t="s">
        <v>676</v>
      </c>
      <c r="B688" s="203" t="s">
        <v>677</v>
      </c>
      <c r="C688" s="206" t="s">
        <v>174</v>
      </c>
      <c r="D688" s="274">
        <v>1145703.6000000001</v>
      </c>
    </row>
    <row r="689" spans="1:17" ht="15" customHeight="1">
      <c r="A689" s="206" t="s">
        <v>678</v>
      </c>
      <c r="B689" s="203" t="s">
        <v>679</v>
      </c>
      <c r="C689" s="206" t="s">
        <v>174</v>
      </c>
      <c r="D689" s="274">
        <v>3325728</v>
      </c>
    </row>
    <row r="690" spans="1:17" ht="15" customHeight="1">
      <c r="A690" s="206" t="s">
        <v>680</v>
      </c>
      <c r="B690" s="203" t="s">
        <v>681</v>
      </c>
      <c r="C690" s="206" t="s">
        <v>174</v>
      </c>
      <c r="D690" s="274">
        <v>1200616.8960000002</v>
      </c>
    </row>
    <row r="691" spans="1:17" ht="15" customHeight="1">
      <c r="A691" s="206" t="s">
        <v>682</v>
      </c>
      <c r="B691" s="203" t="s">
        <v>683</v>
      </c>
      <c r="C691" s="206" t="s">
        <v>393</v>
      </c>
      <c r="D691" s="274">
        <v>600</v>
      </c>
    </row>
    <row r="692" spans="1:17" ht="15" customHeight="1">
      <c r="A692" s="206" t="s">
        <v>684</v>
      </c>
      <c r="B692" s="203" t="s">
        <v>685</v>
      </c>
      <c r="C692" s="206" t="s">
        <v>1904</v>
      </c>
      <c r="D692" s="274">
        <v>66.11570247933885</v>
      </c>
    </row>
    <row r="693" spans="1:17" ht="15" customHeight="1">
      <c r="A693" s="206" t="s">
        <v>686</v>
      </c>
      <c r="B693" s="203" t="s">
        <v>687</v>
      </c>
      <c r="C693" s="206" t="s">
        <v>174</v>
      </c>
      <c r="D693" s="274">
        <v>165.28925619834712</v>
      </c>
    </row>
    <row r="694" spans="1:17" ht="15" customHeight="1">
      <c r="A694" s="206" t="s">
        <v>688</v>
      </c>
      <c r="B694" s="203" t="s">
        <v>689</v>
      </c>
      <c r="C694" s="206" t="s">
        <v>174</v>
      </c>
      <c r="D694" s="274">
        <v>150</v>
      </c>
    </row>
    <row r="695" spans="1:17" ht="15" customHeight="1">
      <c r="A695" s="206" t="s">
        <v>690</v>
      </c>
      <c r="B695" s="203" t="s">
        <v>691</v>
      </c>
      <c r="C695" s="206" t="s">
        <v>1749</v>
      </c>
      <c r="D695" s="274">
        <v>2.4278379999999999</v>
      </c>
    </row>
    <row r="696" spans="1:17" ht="15" customHeight="1">
      <c r="A696" s="206" t="s">
        <v>692</v>
      </c>
      <c r="B696" s="203" t="s">
        <v>693</v>
      </c>
      <c r="C696" s="206" t="s">
        <v>1749</v>
      </c>
      <c r="D696" s="274">
        <v>7.2727272727272725</v>
      </c>
    </row>
    <row r="697" spans="1:17" ht="15" customHeight="1">
      <c r="A697" s="206" t="s">
        <v>694</v>
      </c>
      <c r="B697" s="203" t="s">
        <v>695</v>
      </c>
      <c r="C697" s="206" t="s">
        <v>174</v>
      </c>
      <c r="D697" s="274">
        <v>27.27</v>
      </c>
    </row>
    <row r="698" spans="1:17" ht="15" customHeight="1">
      <c r="A698" s="206" t="s">
        <v>696</v>
      </c>
      <c r="B698" s="203" t="s">
        <v>697</v>
      </c>
      <c r="C698" s="206" t="s">
        <v>1749</v>
      </c>
      <c r="D698" s="274">
        <v>132.2314049586777</v>
      </c>
    </row>
    <row r="699" spans="1:17" ht="15" customHeight="1">
      <c r="A699" s="232" t="s">
        <v>698</v>
      </c>
      <c r="B699" s="231" t="s">
        <v>699</v>
      </c>
      <c r="C699" s="232" t="s">
        <v>1749</v>
      </c>
      <c r="D699" s="274">
        <v>251.37150000000003</v>
      </c>
      <c r="Q699" s="427" t="s">
        <v>1974</v>
      </c>
    </row>
    <row r="700" spans="1:17" ht="15" customHeight="1">
      <c r="A700" s="206" t="s">
        <v>1268</v>
      </c>
      <c r="B700" s="203" t="s">
        <v>700</v>
      </c>
      <c r="C700" s="206" t="s">
        <v>174</v>
      </c>
      <c r="D700" s="274">
        <v>26.244343891402714</v>
      </c>
    </row>
    <row r="701" spans="1:17" ht="15" customHeight="1">
      <c r="A701" s="206" t="s">
        <v>1269</v>
      </c>
      <c r="B701" s="203" t="s">
        <v>1281</v>
      </c>
      <c r="C701" s="206" t="s">
        <v>174</v>
      </c>
      <c r="D701" s="274">
        <v>227.0532</v>
      </c>
    </row>
    <row r="702" spans="1:17" ht="15" customHeight="1">
      <c r="A702" s="206" t="s">
        <v>701</v>
      </c>
      <c r="B702" s="203" t="s">
        <v>702</v>
      </c>
      <c r="C702" s="206" t="s">
        <v>1749</v>
      </c>
      <c r="D702" s="274">
        <v>56.588139999999996</v>
      </c>
    </row>
    <row r="703" spans="1:17" ht="15" customHeight="1">
      <c r="A703" s="206" t="s">
        <v>1272</v>
      </c>
      <c r="B703" s="203" t="s">
        <v>703</v>
      </c>
      <c r="C703" s="206" t="s">
        <v>174</v>
      </c>
      <c r="D703" s="274">
        <v>10.4838</v>
      </c>
    </row>
    <row r="704" spans="1:17" ht="15" customHeight="1">
      <c r="A704" s="206" t="s">
        <v>1275</v>
      </c>
      <c r="B704" s="203" t="s">
        <v>704</v>
      </c>
      <c r="C704" s="206" t="s">
        <v>174</v>
      </c>
      <c r="D704" s="274">
        <v>14.272727272727273</v>
      </c>
    </row>
    <row r="705" spans="1:4" ht="15" customHeight="1">
      <c r="A705" s="206" t="s">
        <v>1276</v>
      </c>
      <c r="B705" s="203" t="s">
        <v>705</v>
      </c>
      <c r="C705" s="206" t="s">
        <v>174</v>
      </c>
      <c r="D705" s="274">
        <v>22.684132231404959</v>
      </c>
    </row>
    <row r="706" spans="1:4" ht="15" customHeight="1">
      <c r="A706" s="206" t="s">
        <v>1277</v>
      </c>
      <c r="B706" s="203" t="s">
        <v>706</v>
      </c>
      <c r="C706" s="206" t="s">
        <v>174</v>
      </c>
      <c r="D706" s="274">
        <v>31.9968</v>
      </c>
    </row>
    <row r="707" spans="1:4" ht="15" customHeight="1">
      <c r="A707" s="206" t="s">
        <v>707</v>
      </c>
      <c r="B707" s="203" t="s">
        <v>708</v>
      </c>
      <c r="C707" s="206" t="s">
        <v>174</v>
      </c>
      <c r="D707" s="274">
        <v>247.93388429752068</v>
      </c>
    </row>
    <row r="708" spans="1:4" ht="15" customHeight="1">
      <c r="A708" s="206" t="s">
        <v>709</v>
      </c>
      <c r="B708" s="203" t="s">
        <v>710</v>
      </c>
      <c r="C708" s="206" t="s">
        <v>174</v>
      </c>
      <c r="D708" s="274">
        <v>42.099173553719012</v>
      </c>
    </row>
    <row r="709" spans="1:4" ht="15" customHeight="1">
      <c r="A709" s="206" t="s">
        <v>711</v>
      </c>
      <c r="B709" s="203" t="s">
        <v>712</v>
      </c>
      <c r="C709" s="206" t="s">
        <v>174</v>
      </c>
      <c r="D709" s="274">
        <v>35.698347107438018</v>
      </c>
    </row>
    <row r="710" spans="1:4" ht="15" customHeight="1">
      <c r="A710" s="206" t="s">
        <v>713</v>
      </c>
      <c r="B710" s="203" t="s">
        <v>714</v>
      </c>
      <c r="C710" s="206" t="s">
        <v>174</v>
      </c>
      <c r="D710" s="274">
        <v>6.884297520661157</v>
      </c>
    </row>
    <row r="711" spans="1:4" ht="15" customHeight="1">
      <c r="A711" s="206" t="s">
        <v>715</v>
      </c>
      <c r="B711" s="203" t="s">
        <v>716</v>
      </c>
      <c r="C711" s="206" t="s">
        <v>1749</v>
      </c>
      <c r="D711" s="274">
        <v>9.14</v>
      </c>
    </row>
    <row r="712" spans="1:4" ht="15" customHeight="1">
      <c r="A712" s="206" t="s">
        <v>717</v>
      </c>
      <c r="B712" s="203" t="s">
        <v>718</v>
      </c>
      <c r="C712" s="206" t="s">
        <v>1749</v>
      </c>
      <c r="D712" s="274">
        <v>35.659999999999997</v>
      </c>
    </row>
    <row r="713" spans="1:4" ht="15" customHeight="1">
      <c r="A713" s="206" t="s">
        <v>719</v>
      </c>
      <c r="B713" s="203" t="s">
        <v>720</v>
      </c>
      <c r="C713" s="206" t="s">
        <v>1749</v>
      </c>
      <c r="D713" s="274">
        <v>56.63</v>
      </c>
    </row>
    <row r="714" spans="1:4" ht="15" customHeight="1">
      <c r="A714" s="206" t="s">
        <v>721</v>
      </c>
      <c r="B714" s="203" t="s">
        <v>722</v>
      </c>
      <c r="C714" s="206" t="s">
        <v>1749</v>
      </c>
      <c r="D714" s="274">
        <v>113.86</v>
      </c>
    </row>
    <row r="715" spans="1:4" ht="15" customHeight="1">
      <c r="A715" s="206" t="s">
        <v>723</v>
      </c>
      <c r="B715" s="203" t="s">
        <v>724</v>
      </c>
      <c r="C715" s="206" t="s">
        <v>174</v>
      </c>
      <c r="D715" s="274">
        <v>2.6495699999999998</v>
      </c>
    </row>
    <row r="716" spans="1:4" ht="15" customHeight="1">
      <c r="A716" s="206" t="s">
        <v>725</v>
      </c>
      <c r="B716" s="203" t="s">
        <v>726</v>
      </c>
      <c r="C716" s="206" t="s">
        <v>174</v>
      </c>
      <c r="D716" s="274">
        <v>5.2991399999999995</v>
      </c>
    </row>
    <row r="717" spans="1:4" ht="15" customHeight="1">
      <c r="A717" s="206" t="s">
        <v>727</v>
      </c>
      <c r="B717" s="203" t="s">
        <v>728</v>
      </c>
      <c r="C717" s="206" t="s">
        <v>174</v>
      </c>
      <c r="D717" s="274">
        <v>42.88</v>
      </c>
    </row>
    <row r="718" spans="1:4" ht="15" customHeight="1">
      <c r="A718" s="206" t="s">
        <v>729</v>
      </c>
      <c r="B718" s="203" t="s">
        <v>730</v>
      </c>
      <c r="C718" s="206" t="s">
        <v>174</v>
      </c>
      <c r="D718" s="274">
        <v>175.45</v>
      </c>
    </row>
    <row r="719" spans="1:4" ht="15" customHeight="1">
      <c r="A719" s="206" t="s">
        <v>731</v>
      </c>
      <c r="B719" s="203" t="s">
        <v>732</v>
      </c>
      <c r="C719" s="206" t="s">
        <v>174</v>
      </c>
      <c r="D719" s="274">
        <v>177.99</v>
      </c>
    </row>
    <row r="720" spans="1:4" ht="15" customHeight="1">
      <c r="A720" s="206" t="s">
        <v>733</v>
      </c>
      <c r="B720" s="203" t="s">
        <v>734</v>
      </c>
      <c r="C720" s="206" t="s">
        <v>174</v>
      </c>
      <c r="D720" s="274">
        <v>399.00007619999991</v>
      </c>
    </row>
    <row r="721" spans="1:17" ht="15" customHeight="1">
      <c r="A721" s="206" t="s">
        <v>735</v>
      </c>
      <c r="B721" s="203" t="s">
        <v>736</v>
      </c>
      <c r="C721" s="206" t="s">
        <v>174</v>
      </c>
      <c r="D721" s="274">
        <v>14.45932032</v>
      </c>
    </row>
    <row r="722" spans="1:17" ht="15" customHeight="1">
      <c r="A722" s="206" t="s">
        <v>737</v>
      </c>
      <c r="B722" s="203" t="s">
        <v>738</v>
      </c>
      <c r="C722" s="206" t="s">
        <v>174</v>
      </c>
      <c r="D722" s="274">
        <v>8.6672281599999987</v>
      </c>
    </row>
    <row r="723" spans="1:17" ht="15" customHeight="1">
      <c r="A723" s="206" t="s">
        <v>739</v>
      </c>
      <c r="B723" s="203" t="s">
        <v>740</v>
      </c>
      <c r="C723" s="206" t="s">
        <v>174</v>
      </c>
      <c r="D723" s="274">
        <v>42.57</v>
      </c>
    </row>
    <row r="724" spans="1:17" ht="15" customHeight="1">
      <c r="A724" s="206" t="s">
        <v>741</v>
      </c>
      <c r="B724" s="203" t="s">
        <v>1280</v>
      </c>
      <c r="C724" s="206" t="s">
        <v>174</v>
      </c>
      <c r="D724" s="274">
        <v>203.63765759999995</v>
      </c>
    </row>
    <row r="725" spans="1:17" ht="15" customHeight="1">
      <c r="A725" s="206" t="s">
        <v>742</v>
      </c>
      <c r="B725" s="203" t="s">
        <v>743</v>
      </c>
      <c r="C725" s="206" t="s">
        <v>174</v>
      </c>
      <c r="D725" s="274">
        <v>92.56</v>
      </c>
    </row>
    <row r="726" spans="1:17" ht="15" customHeight="1">
      <c r="A726" s="206" t="s">
        <v>744</v>
      </c>
      <c r="B726" s="203" t="s">
        <v>745</v>
      </c>
      <c r="C726" s="206" t="s">
        <v>174</v>
      </c>
      <c r="D726" s="274">
        <v>218.6953</v>
      </c>
    </row>
    <row r="727" spans="1:17" ht="15" customHeight="1">
      <c r="A727" s="206" t="s">
        <v>746</v>
      </c>
      <c r="B727" s="203" t="s">
        <v>747</v>
      </c>
      <c r="C727" s="206" t="s">
        <v>1886</v>
      </c>
      <c r="D727" s="274">
        <v>1900.8264462809918</v>
      </c>
    </row>
    <row r="728" spans="1:17" ht="15" customHeight="1">
      <c r="A728" s="206" t="s">
        <v>748</v>
      </c>
      <c r="B728" s="203" t="s">
        <v>749</v>
      </c>
      <c r="C728" s="206" t="s">
        <v>174</v>
      </c>
      <c r="D728" s="274">
        <v>6.57</v>
      </c>
    </row>
    <row r="729" spans="1:17" ht="15" customHeight="1">
      <c r="A729" s="206" t="s">
        <v>750</v>
      </c>
      <c r="B729" s="203" t="s">
        <v>751</v>
      </c>
      <c r="C729" s="206" t="s">
        <v>174</v>
      </c>
      <c r="D729" s="274">
        <v>7.27</v>
      </c>
    </row>
    <row r="730" spans="1:17" ht="15" customHeight="1">
      <c r="A730" s="206" t="s">
        <v>752</v>
      </c>
      <c r="B730" s="203" t="s">
        <v>753</v>
      </c>
      <c r="C730" s="206" t="s">
        <v>174</v>
      </c>
      <c r="D730" s="274">
        <v>16.97</v>
      </c>
    </row>
    <row r="731" spans="1:17" ht="15" customHeight="1">
      <c r="A731" s="206" t="s">
        <v>754</v>
      </c>
      <c r="B731" s="203" t="s">
        <v>755</v>
      </c>
      <c r="C731" s="206" t="s">
        <v>1886</v>
      </c>
      <c r="D731" s="274">
        <v>2500</v>
      </c>
    </row>
    <row r="732" spans="1:17" ht="15" customHeight="1">
      <c r="A732" s="206" t="s">
        <v>756</v>
      </c>
      <c r="B732" s="203" t="s">
        <v>757</v>
      </c>
      <c r="C732" s="206" t="s">
        <v>1886</v>
      </c>
      <c r="D732" s="274">
        <v>2900</v>
      </c>
    </row>
    <row r="733" spans="1:17" ht="15" customHeight="1">
      <c r="A733" s="206" t="s">
        <v>758</v>
      </c>
      <c r="B733" s="203" t="s">
        <v>759</v>
      </c>
      <c r="C733" s="206" t="s">
        <v>1886</v>
      </c>
      <c r="D733" s="274">
        <v>2500</v>
      </c>
    </row>
    <row r="734" spans="1:17" ht="15" customHeight="1">
      <c r="A734" s="206" t="s">
        <v>760</v>
      </c>
      <c r="B734" s="203" t="s">
        <v>761</v>
      </c>
      <c r="C734" s="206" t="s">
        <v>1886</v>
      </c>
      <c r="D734" s="274">
        <v>2100</v>
      </c>
    </row>
    <row r="735" spans="1:17" ht="15" customHeight="1">
      <c r="A735" s="206"/>
      <c r="B735" s="203"/>
      <c r="C735" s="206"/>
      <c r="D735" s="274"/>
      <c r="Q735" s="408" t="s">
        <v>1966</v>
      </c>
    </row>
    <row r="736" spans="1:17" ht="15" customHeight="1">
      <c r="A736" s="206" t="s">
        <v>762</v>
      </c>
      <c r="B736" s="203" t="s">
        <v>763</v>
      </c>
      <c r="C736" s="206" t="s">
        <v>1904</v>
      </c>
      <c r="D736" s="274">
        <v>12.561983471074379</v>
      </c>
    </row>
    <row r="737" spans="1:17" ht="15" customHeight="1">
      <c r="A737" s="206" t="s">
        <v>764</v>
      </c>
      <c r="B737" s="203" t="s">
        <v>765</v>
      </c>
      <c r="C737" s="206" t="s">
        <v>1904</v>
      </c>
      <c r="D737" s="274">
        <v>14.57</v>
      </c>
    </row>
    <row r="738" spans="1:17" ht="15" customHeight="1">
      <c r="A738" s="206"/>
      <c r="B738" s="203"/>
      <c r="C738" s="206"/>
      <c r="D738" s="274"/>
      <c r="Q738" s="408" t="s">
        <v>1966</v>
      </c>
    </row>
    <row r="739" spans="1:17" ht="15" customHeight="1">
      <c r="A739" s="206" t="s">
        <v>766</v>
      </c>
      <c r="B739" s="203" t="s">
        <v>767</v>
      </c>
      <c r="C739" s="206" t="s">
        <v>1904</v>
      </c>
      <c r="D739" s="274">
        <v>36.851239669421489</v>
      </c>
    </row>
    <row r="740" spans="1:17" ht="15" customHeight="1">
      <c r="A740" s="206" t="s">
        <v>768</v>
      </c>
      <c r="B740" s="203" t="s">
        <v>769</v>
      </c>
      <c r="C740" s="206" t="s">
        <v>174</v>
      </c>
      <c r="D740" s="274">
        <v>66.95</v>
      </c>
    </row>
    <row r="741" spans="1:17" ht="15" customHeight="1">
      <c r="A741" s="206" t="s">
        <v>770</v>
      </c>
      <c r="B741" s="203" t="s">
        <v>771</v>
      </c>
      <c r="C741" s="206" t="s">
        <v>174</v>
      </c>
      <c r="D741" s="274">
        <v>11.115702479338843</v>
      </c>
    </row>
    <row r="742" spans="1:17" ht="15" customHeight="1">
      <c r="A742" s="206" t="s">
        <v>772</v>
      </c>
      <c r="B742" s="203" t="s">
        <v>773</v>
      </c>
      <c r="C742" s="206" t="s">
        <v>174</v>
      </c>
      <c r="D742" s="274">
        <v>815</v>
      </c>
    </row>
    <row r="743" spans="1:17" ht="15" customHeight="1">
      <c r="A743" s="206" t="s">
        <v>774</v>
      </c>
      <c r="B743" s="203" t="s">
        <v>775</v>
      </c>
      <c r="C743" s="206" t="s">
        <v>174</v>
      </c>
      <c r="D743" s="274">
        <v>440</v>
      </c>
    </row>
    <row r="744" spans="1:17" ht="15" customHeight="1">
      <c r="A744" s="206" t="s">
        <v>776</v>
      </c>
      <c r="B744" s="203" t="s">
        <v>1026</v>
      </c>
      <c r="C744" s="206" t="s">
        <v>174</v>
      </c>
      <c r="D744" s="274">
        <v>44.270833333333336</v>
      </c>
    </row>
    <row r="745" spans="1:17" ht="15" customHeight="1">
      <c r="A745" s="206" t="s">
        <v>777</v>
      </c>
      <c r="B745" s="203" t="s">
        <v>778</v>
      </c>
      <c r="C745" s="206" t="s">
        <v>1749</v>
      </c>
      <c r="D745" s="274">
        <v>3.3057851239669422</v>
      </c>
    </row>
    <row r="746" spans="1:17" ht="15" customHeight="1">
      <c r="A746" s="206"/>
      <c r="B746" s="203"/>
      <c r="C746" s="206"/>
      <c r="D746" s="274"/>
      <c r="Q746" s="408" t="s">
        <v>1966</v>
      </c>
    </row>
    <row r="747" spans="1:17" ht="15" customHeight="1">
      <c r="A747" s="206" t="s">
        <v>779</v>
      </c>
      <c r="B747" s="203" t="s">
        <v>780</v>
      </c>
      <c r="C747" s="206" t="s">
        <v>174</v>
      </c>
      <c r="D747" s="274">
        <v>22443.61</v>
      </c>
    </row>
    <row r="748" spans="1:17" ht="15" customHeight="1">
      <c r="A748" s="206" t="s">
        <v>781</v>
      </c>
      <c r="B748" s="203" t="s">
        <v>782</v>
      </c>
      <c r="C748" s="206" t="s">
        <v>174</v>
      </c>
      <c r="D748" s="274">
        <v>16495.704418099998</v>
      </c>
    </row>
    <row r="749" spans="1:17" ht="15" customHeight="1">
      <c r="A749" s="206" t="s">
        <v>783</v>
      </c>
      <c r="B749" s="203" t="s">
        <v>784</v>
      </c>
      <c r="C749" s="206" t="s">
        <v>174</v>
      </c>
      <c r="D749" s="274">
        <v>24313.826446280993</v>
      </c>
    </row>
    <row r="750" spans="1:17" ht="15" customHeight="1">
      <c r="A750" s="206" t="s">
        <v>785</v>
      </c>
      <c r="B750" s="203" t="s">
        <v>786</v>
      </c>
      <c r="C750" s="206" t="s">
        <v>174</v>
      </c>
      <c r="D750" s="274">
        <v>2001.2644628099176</v>
      </c>
    </row>
    <row r="751" spans="1:17" ht="15" customHeight="1">
      <c r="A751" s="206" t="s">
        <v>787</v>
      </c>
      <c r="B751" s="203" t="s">
        <v>788</v>
      </c>
      <c r="C751" s="206" t="s">
        <v>344</v>
      </c>
      <c r="D751" s="274">
        <v>16.18</v>
      </c>
    </row>
    <row r="752" spans="1:17" ht="15" customHeight="1">
      <c r="A752" s="206" t="s">
        <v>789</v>
      </c>
      <c r="B752" s="203" t="s">
        <v>790</v>
      </c>
      <c r="C752" s="206" t="s">
        <v>344</v>
      </c>
      <c r="D752" s="274">
        <v>98.44</v>
      </c>
    </row>
    <row r="753" spans="1:4" ht="15" customHeight="1">
      <c r="A753" s="206" t="s">
        <v>791</v>
      </c>
      <c r="B753" s="203" t="s">
        <v>792</v>
      </c>
      <c r="C753" s="206" t="s">
        <v>344</v>
      </c>
      <c r="D753" s="274">
        <v>76.494774947066787</v>
      </c>
    </row>
    <row r="754" spans="1:4" ht="15" customHeight="1">
      <c r="A754" s="206" t="s">
        <v>793</v>
      </c>
      <c r="B754" s="203" t="s">
        <v>794</v>
      </c>
      <c r="C754" s="206" t="s">
        <v>174</v>
      </c>
      <c r="D754" s="274">
        <v>327.16949999999997</v>
      </c>
    </row>
    <row r="755" spans="1:4" ht="15" customHeight="1">
      <c r="A755" s="206" t="s">
        <v>795</v>
      </c>
      <c r="B755" s="203" t="s">
        <v>796</v>
      </c>
      <c r="C755" s="206" t="s">
        <v>344</v>
      </c>
      <c r="D755" s="274">
        <v>212.72</v>
      </c>
    </row>
    <row r="756" spans="1:4" ht="15" customHeight="1">
      <c r="A756" s="206" t="s">
        <v>797</v>
      </c>
      <c r="B756" s="203" t="s">
        <v>798</v>
      </c>
      <c r="C756" s="206" t="s">
        <v>344</v>
      </c>
      <c r="D756" s="274">
        <v>54.768595041322321</v>
      </c>
    </row>
    <row r="757" spans="1:4" ht="15" customHeight="1">
      <c r="A757" s="206" t="s">
        <v>799</v>
      </c>
      <c r="B757" s="203" t="s">
        <v>800</v>
      </c>
      <c r="C757" s="206" t="s">
        <v>344</v>
      </c>
      <c r="D757" s="274">
        <v>78.289256198347118</v>
      </c>
    </row>
    <row r="758" spans="1:4" ht="15" customHeight="1">
      <c r="A758" s="206" t="s">
        <v>801</v>
      </c>
      <c r="B758" s="203" t="s">
        <v>802</v>
      </c>
      <c r="C758" s="206" t="s">
        <v>344</v>
      </c>
      <c r="D758" s="274">
        <v>68.576915</v>
      </c>
    </row>
    <row r="759" spans="1:4" ht="15" customHeight="1">
      <c r="A759" s="206" t="s">
        <v>803</v>
      </c>
      <c r="B759" s="203" t="s">
        <v>804</v>
      </c>
      <c r="C759" s="206" t="s">
        <v>174</v>
      </c>
      <c r="D759" s="274">
        <v>15.663835200000001</v>
      </c>
    </row>
    <row r="760" spans="1:4" ht="15" customHeight="1">
      <c r="A760" s="206" t="s">
        <v>805</v>
      </c>
      <c r="B760" s="203" t="s">
        <v>806</v>
      </c>
      <c r="C760" s="206" t="s">
        <v>174</v>
      </c>
      <c r="D760" s="274">
        <v>45.454545454545453</v>
      </c>
    </row>
    <row r="761" spans="1:4" ht="15" customHeight="1">
      <c r="A761" s="206" t="s">
        <v>807</v>
      </c>
      <c r="B761" s="203" t="s">
        <v>808</v>
      </c>
      <c r="C761" s="206" t="s">
        <v>174</v>
      </c>
      <c r="D761" s="274">
        <v>61.447933884297527</v>
      </c>
    </row>
    <row r="762" spans="1:4" ht="15" customHeight="1">
      <c r="A762" s="206" t="s">
        <v>809</v>
      </c>
      <c r="B762" s="203" t="s">
        <v>810</v>
      </c>
      <c r="C762" s="206" t="s">
        <v>174</v>
      </c>
      <c r="D762" s="274">
        <v>51.9</v>
      </c>
    </row>
    <row r="763" spans="1:4" ht="15" customHeight="1">
      <c r="A763" s="206" t="s">
        <v>811</v>
      </c>
      <c r="B763" s="203" t="s">
        <v>812</v>
      </c>
      <c r="C763" s="206" t="s">
        <v>174</v>
      </c>
      <c r="D763" s="274">
        <v>25.7966874</v>
      </c>
    </row>
    <row r="764" spans="1:4" ht="15" customHeight="1">
      <c r="A764" s="206" t="s">
        <v>813</v>
      </c>
      <c r="B764" s="203" t="s">
        <v>814</v>
      </c>
      <c r="C764" s="206" t="s">
        <v>344</v>
      </c>
      <c r="D764" s="274">
        <v>70.239999999999995</v>
      </c>
    </row>
    <row r="765" spans="1:4" ht="15" customHeight="1">
      <c r="A765" s="206" t="s">
        <v>815</v>
      </c>
      <c r="B765" s="203" t="s">
        <v>816</v>
      </c>
      <c r="C765" s="206" t="s">
        <v>174</v>
      </c>
      <c r="D765" s="274">
        <v>644.78760330578507</v>
      </c>
    </row>
    <row r="766" spans="1:4" ht="15" customHeight="1">
      <c r="A766" s="210" t="s">
        <v>817</v>
      </c>
      <c r="B766" s="251" t="s">
        <v>818</v>
      </c>
      <c r="C766" s="126" t="s">
        <v>174</v>
      </c>
      <c r="D766" s="274">
        <v>353.4363012</v>
      </c>
    </row>
    <row r="767" spans="1:4" ht="15" customHeight="1">
      <c r="A767" s="210" t="s">
        <v>819</v>
      </c>
      <c r="B767" s="251" t="s">
        <v>820</v>
      </c>
      <c r="C767" s="126" t="s">
        <v>174</v>
      </c>
      <c r="D767" s="274">
        <v>327.03923459999999</v>
      </c>
    </row>
    <row r="768" spans="1:4" ht="15" customHeight="1">
      <c r="A768" s="210" t="s">
        <v>821</v>
      </c>
      <c r="B768" s="251" t="s">
        <v>822</v>
      </c>
      <c r="C768" s="126" t="s">
        <v>174</v>
      </c>
      <c r="D768" s="274">
        <v>298.26</v>
      </c>
    </row>
    <row r="769" spans="1:17" ht="15" customHeight="1">
      <c r="A769" s="210" t="s">
        <v>823</v>
      </c>
      <c r="B769" s="251" t="s">
        <v>824</v>
      </c>
      <c r="C769" s="126" t="s">
        <v>174</v>
      </c>
      <c r="D769" s="274">
        <v>913.80165289256195</v>
      </c>
    </row>
    <row r="770" spans="1:17" ht="15" customHeight="1">
      <c r="A770" s="210" t="s">
        <v>825</v>
      </c>
      <c r="B770" s="251" t="s">
        <v>826</v>
      </c>
      <c r="C770" s="126" t="s">
        <v>174</v>
      </c>
      <c r="D770" s="274">
        <v>1529.02</v>
      </c>
      <c r="Q770" s="408" t="s">
        <v>1976</v>
      </c>
    </row>
    <row r="771" spans="1:17" ht="15" customHeight="1">
      <c r="A771" s="210" t="s">
        <v>827</v>
      </c>
      <c r="B771" s="251" t="s">
        <v>828</v>
      </c>
      <c r="C771" s="126" t="s">
        <v>174</v>
      </c>
      <c r="D771" s="274">
        <v>1609.9173553719008</v>
      </c>
    </row>
    <row r="772" spans="1:17" ht="15" customHeight="1">
      <c r="A772" s="210" t="s">
        <v>829</v>
      </c>
      <c r="B772" s="251" t="s">
        <v>830</v>
      </c>
      <c r="C772" s="126" t="s">
        <v>1749</v>
      </c>
      <c r="D772" s="274">
        <v>64.902600000000007</v>
      </c>
    </row>
    <row r="773" spans="1:17" ht="15" customHeight="1">
      <c r="A773" s="210" t="s">
        <v>831</v>
      </c>
      <c r="B773" s="251" t="s">
        <v>832</v>
      </c>
      <c r="C773" s="126" t="s">
        <v>1749</v>
      </c>
      <c r="D773" s="274">
        <v>95.125200000000007</v>
      </c>
    </row>
    <row r="774" spans="1:17" ht="15" customHeight="1">
      <c r="A774" s="210" t="s">
        <v>833</v>
      </c>
      <c r="B774" s="251" t="s">
        <v>834</v>
      </c>
      <c r="C774" s="126" t="s">
        <v>1749</v>
      </c>
      <c r="D774" s="274">
        <v>93.421800000000005</v>
      </c>
    </row>
    <row r="775" spans="1:17" ht="15" customHeight="1">
      <c r="A775" s="210" t="s">
        <v>835</v>
      </c>
      <c r="B775" s="251" t="s">
        <v>836</v>
      </c>
      <c r="C775" s="126" t="s">
        <v>1749</v>
      </c>
      <c r="D775" s="274">
        <v>133.47720000000001</v>
      </c>
    </row>
    <row r="776" spans="1:17" ht="15" customHeight="1">
      <c r="A776" s="210" t="s">
        <v>837</v>
      </c>
      <c r="B776" s="251" t="s">
        <v>838</v>
      </c>
      <c r="C776" s="126" t="s">
        <v>174</v>
      </c>
      <c r="D776" s="274">
        <v>157.4177325</v>
      </c>
    </row>
    <row r="777" spans="1:17" ht="15" customHeight="1">
      <c r="A777" s="210" t="s">
        <v>839</v>
      </c>
      <c r="B777" s="251" t="s">
        <v>840</v>
      </c>
      <c r="C777" s="126" t="s">
        <v>1749</v>
      </c>
      <c r="D777" s="274">
        <v>351.85119089880004</v>
      </c>
    </row>
    <row r="778" spans="1:17" ht="15" customHeight="1">
      <c r="A778" s="210" t="s">
        <v>841</v>
      </c>
      <c r="B778" s="251" t="s">
        <v>842</v>
      </c>
      <c r="C778" s="126" t="s">
        <v>1749</v>
      </c>
      <c r="D778" s="274">
        <v>405.89029795319999</v>
      </c>
    </row>
    <row r="779" spans="1:17" ht="15" customHeight="1">
      <c r="A779" s="210" t="s">
        <v>843</v>
      </c>
      <c r="B779" s="251" t="s">
        <v>844</v>
      </c>
      <c r="C779" s="126" t="s">
        <v>1749</v>
      </c>
      <c r="D779" s="274">
        <v>646.93257518459995</v>
      </c>
    </row>
    <row r="780" spans="1:17" ht="15" customHeight="1">
      <c r="A780" s="210" t="s">
        <v>845</v>
      </c>
      <c r="B780" s="251" t="s">
        <v>846</v>
      </c>
      <c r="C780" s="126" t="s">
        <v>1749</v>
      </c>
      <c r="D780" s="274">
        <v>793.92602186940007</v>
      </c>
    </row>
    <row r="781" spans="1:17" ht="15" customHeight="1">
      <c r="A781" s="210" t="s">
        <v>847</v>
      </c>
      <c r="B781" s="251" t="s">
        <v>848</v>
      </c>
      <c r="C781" s="126" t="s">
        <v>1749</v>
      </c>
      <c r="D781" s="274">
        <v>979.12715144699996</v>
      </c>
    </row>
    <row r="782" spans="1:17" ht="15" customHeight="1">
      <c r="A782" s="206" t="s">
        <v>849</v>
      </c>
      <c r="B782" s="203" t="s">
        <v>850</v>
      </c>
      <c r="C782" s="206" t="s">
        <v>1749</v>
      </c>
      <c r="D782" s="274">
        <v>1409.1073050204</v>
      </c>
    </row>
    <row r="783" spans="1:17" ht="15" customHeight="1">
      <c r="A783" s="206" t="s">
        <v>851</v>
      </c>
      <c r="B783" s="203" t="s">
        <v>304</v>
      </c>
      <c r="C783" s="206" t="s">
        <v>174</v>
      </c>
      <c r="D783" s="274">
        <v>347.93793202500007</v>
      </c>
    </row>
    <row r="784" spans="1:17" ht="15" customHeight="1">
      <c r="A784" s="206" t="s">
        <v>852</v>
      </c>
      <c r="B784" s="203" t="s">
        <v>853</v>
      </c>
      <c r="C784" s="206" t="s">
        <v>174</v>
      </c>
      <c r="D784" s="274">
        <v>212.18509953000003</v>
      </c>
    </row>
    <row r="785" spans="1:4" ht="15" customHeight="1">
      <c r="A785" s="206" t="s">
        <v>854</v>
      </c>
      <c r="B785" s="203" t="s">
        <v>278</v>
      </c>
      <c r="C785" s="206" t="s">
        <v>174</v>
      </c>
      <c r="D785" s="274">
        <v>764.89351949999991</v>
      </c>
    </row>
    <row r="786" spans="1:4" ht="15" customHeight="1">
      <c r="A786" s="206" t="s">
        <v>855</v>
      </c>
      <c r="B786" s="203" t="s">
        <v>279</v>
      </c>
      <c r="C786" s="206" t="s">
        <v>1749</v>
      </c>
      <c r="D786" s="274">
        <v>101.03701698749997</v>
      </c>
    </row>
    <row r="787" spans="1:4" ht="15" customHeight="1">
      <c r="A787" s="206" t="s">
        <v>856</v>
      </c>
      <c r="B787" s="203" t="s">
        <v>289</v>
      </c>
      <c r="C787" s="206" t="s">
        <v>1749</v>
      </c>
      <c r="D787" s="274">
        <v>31.126529444999996</v>
      </c>
    </row>
    <row r="788" spans="1:4" ht="15" customHeight="1">
      <c r="A788" s="206" t="s">
        <v>857</v>
      </c>
      <c r="B788" s="203" t="s">
        <v>303</v>
      </c>
      <c r="C788" s="206" t="s">
        <v>1749</v>
      </c>
      <c r="D788" s="274">
        <v>16.481292134999997</v>
      </c>
    </row>
    <row r="789" spans="1:4" ht="15" customHeight="1">
      <c r="A789" s="206" t="s">
        <v>858</v>
      </c>
      <c r="B789" s="203" t="s">
        <v>318</v>
      </c>
      <c r="C789" s="206" t="s">
        <v>1749</v>
      </c>
      <c r="D789" s="274">
        <v>98.22002024999999</v>
      </c>
    </row>
    <row r="790" spans="1:4" ht="15" customHeight="1">
      <c r="A790" s="206" t="s">
        <v>859</v>
      </c>
      <c r="B790" s="203" t="s">
        <v>305</v>
      </c>
      <c r="C790" s="206" t="s">
        <v>1749</v>
      </c>
      <c r="D790" s="274">
        <v>64.539791249999979</v>
      </c>
    </row>
    <row r="791" spans="1:4" ht="15" customHeight="1">
      <c r="A791" s="206" t="s">
        <v>860</v>
      </c>
      <c r="B791" s="203" t="s">
        <v>290</v>
      </c>
      <c r="C791" s="206" t="s">
        <v>174</v>
      </c>
      <c r="D791" s="274">
        <v>81.176277599999992</v>
      </c>
    </row>
    <row r="792" spans="1:4" ht="15" customHeight="1">
      <c r="A792" s="206" t="s">
        <v>861</v>
      </c>
      <c r="B792" s="203" t="s">
        <v>306</v>
      </c>
      <c r="C792" s="206" t="s">
        <v>174</v>
      </c>
      <c r="D792" s="274">
        <v>179.95223729999998</v>
      </c>
    </row>
    <row r="793" spans="1:4" ht="15" customHeight="1">
      <c r="A793" s="206" t="s">
        <v>862</v>
      </c>
      <c r="B793" s="203" t="s">
        <v>284</v>
      </c>
      <c r="C793" s="206" t="s">
        <v>174</v>
      </c>
      <c r="D793" s="274">
        <v>1316.1567012000003</v>
      </c>
    </row>
    <row r="794" spans="1:4" ht="15" customHeight="1">
      <c r="A794" s="206" t="s">
        <v>863</v>
      </c>
      <c r="B794" s="203" t="s">
        <v>307</v>
      </c>
      <c r="C794" s="206" t="s">
        <v>174</v>
      </c>
      <c r="D794" s="274">
        <v>164.65315775999997</v>
      </c>
    </row>
    <row r="795" spans="1:4" ht="15" customHeight="1">
      <c r="A795" s="206" t="s">
        <v>864</v>
      </c>
      <c r="B795" s="203" t="s">
        <v>308</v>
      </c>
      <c r="C795" s="206" t="s">
        <v>174</v>
      </c>
      <c r="D795" s="274">
        <v>2181.5100570760005</v>
      </c>
    </row>
    <row r="796" spans="1:4" ht="15" customHeight="1">
      <c r="A796" s="206" t="s">
        <v>865</v>
      </c>
      <c r="B796" s="203" t="s">
        <v>866</v>
      </c>
      <c r="C796" s="206" t="s">
        <v>174</v>
      </c>
      <c r="D796" s="274">
        <v>2341.1993279999997</v>
      </c>
    </row>
    <row r="797" spans="1:4" ht="15" customHeight="1">
      <c r="A797" s="206" t="s">
        <v>867</v>
      </c>
      <c r="B797" s="203" t="s">
        <v>287</v>
      </c>
      <c r="C797" s="206" t="s">
        <v>174</v>
      </c>
      <c r="D797" s="274">
        <v>744.55094999999994</v>
      </c>
    </row>
    <row r="798" spans="1:4" ht="15" customHeight="1">
      <c r="A798" s="206" t="s">
        <v>868</v>
      </c>
      <c r="B798" s="203" t="s">
        <v>288</v>
      </c>
      <c r="C798" s="206" t="s">
        <v>174</v>
      </c>
      <c r="D798" s="274">
        <v>1365.4078698000001</v>
      </c>
    </row>
    <row r="799" spans="1:4" ht="15" customHeight="1">
      <c r="A799" s="206" t="s">
        <v>300</v>
      </c>
      <c r="B799" s="203" t="s">
        <v>316</v>
      </c>
      <c r="C799" s="206" t="s">
        <v>343</v>
      </c>
      <c r="D799" s="274">
        <v>16.410319470000001</v>
      </c>
    </row>
    <row r="800" spans="1:4" ht="15" customHeight="1">
      <c r="A800" s="206" t="s">
        <v>869</v>
      </c>
      <c r="B800" s="203" t="s">
        <v>870</v>
      </c>
      <c r="C800" s="206" t="s">
        <v>174</v>
      </c>
      <c r="D800" s="274">
        <v>106.763607846</v>
      </c>
    </row>
    <row r="801" spans="1:4" ht="15" customHeight="1">
      <c r="A801" s="206" t="s">
        <v>1266</v>
      </c>
      <c r="B801" s="203" t="s">
        <v>871</v>
      </c>
      <c r="C801" s="206" t="s">
        <v>174</v>
      </c>
      <c r="D801" s="274">
        <v>196.67768595041323</v>
      </c>
    </row>
    <row r="802" spans="1:4" ht="15" customHeight="1">
      <c r="A802" s="206" t="s">
        <v>1070</v>
      </c>
      <c r="B802" s="203" t="s">
        <v>872</v>
      </c>
      <c r="C802" s="206" t="s">
        <v>174</v>
      </c>
      <c r="D802" s="274">
        <v>119.83</v>
      </c>
    </row>
    <row r="803" spans="1:4" ht="15" customHeight="1">
      <c r="A803" s="206" t="s">
        <v>1091</v>
      </c>
      <c r="B803" s="203" t="s">
        <v>873</v>
      </c>
      <c r="C803" s="206" t="s">
        <v>343</v>
      </c>
      <c r="D803" s="274">
        <v>102152.38</v>
      </c>
    </row>
    <row r="804" spans="1:4" ht="15" customHeight="1">
      <c r="A804" s="206" t="s">
        <v>1095</v>
      </c>
      <c r="B804" s="203" t="s">
        <v>874</v>
      </c>
      <c r="C804" s="206" t="s">
        <v>1922</v>
      </c>
      <c r="D804" s="274">
        <v>278.555554992</v>
      </c>
    </row>
    <row r="805" spans="1:4" ht="15" customHeight="1">
      <c r="A805" s="206" t="s">
        <v>875</v>
      </c>
      <c r="B805" s="203" t="s">
        <v>876</v>
      </c>
      <c r="C805" s="206" t="s">
        <v>174</v>
      </c>
      <c r="D805" s="274">
        <v>28.86</v>
      </c>
    </row>
    <row r="806" spans="1:4" ht="15" customHeight="1">
      <c r="A806" s="206" t="s">
        <v>877</v>
      </c>
      <c r="B806" s="203" t="s">
        <v>878</v>
      </c>
      <c r="C806" s="206" t="s">
        <v>174</v>
      </c>
      <c r="D806" s="274">
        <v>28.572199999999999</v>
      </c>
    </row>
    <row r="807" spans="1:4" ht="15" customHeight="1">
      <c r="A807" s="206" t="s">
        <v>879</v>
      </c>
      <c r="B807" s="203" t="s">
        <v>880</v>
      </c>
      <c r="C807" s="206" t="s">
        <v>174</v>
      </c>
      <c r="D807" s="274">
        <v>55.452800000000003</v>
      </c>
    </row>
    <row r="808" spans="1:4" ht="15" customHeight="1">
      <c r="A808" s="206" t="s">
        <v>881</v>
      </c>
      <c r="B808" s="203" t="s">
        <v>882</v>
      </c>
      <c r="C808" s="206" t="s">
        <v>174</v>
      </c>
      <c r="D808" s="274">
        <v>60.049911999999999</v>
      </c>
    </row>
    <row r="809" spans="1:4" ht="15" customHeight="1">
      <c r="A809" s="206" t="s">
        <v>883</v>
      </c>
      <c r="B809" s="203" t="s">
        <v>884</v>
      </c>
      <c r="C809" s="206" t="s">
        <v>174</v>
      </c>
      <c r="D809" s="274">
        <v>13.802231404958677</v>
      </c>
    </row>
    <row r="810" spans="1:4" ht="15" customHeight="1">
      <c r="A810" s="206" t="s">
        <v>885</v>
      </c>
      <c r="B810" s="203" t="s">
        <v>886</v>
      </c>
      <c r="C810" s="206" t="s">
        <v>174</v>
      </c>
      <c r="D810" s="274">
        <v>14.127599999999999</v>
      </c>
    </row>
    <row r="811" spans="1:4" ht="15" customHeight="1">
      <c r="A811" s="206" t="s">
        <v>887</v>
      </c>
      <c r="B811" s="203" t="s">
        <v>888</v>
      </c>
      <c r="C811" s="206" t="s">
        <v>174</v>
      </c>
      <c r="D811" s="274">
        <v>8.5284999999999993</v>
      </c>
    </row>
    <row r="812" spans="1:4" ht="15" customHeight="1">
      <c r="A812" s="206" t="s">
        <v>889</v>
      </c>
      <c r="B812" s="203" t="s">
        <v>890</v>
      </c>
      <c r="C812" s="206" t="s">
        <v>174</v>
      </c>
      <c r="D812" s="274">
        <v>10.541700000000001</v>
      </c>
    </row>
    <row r="813" spans="1:4" ht="15" customHeight="1">
      <c r="A813" s="206" t="s">
        <v>891</v>
      </c>
      <c r="B813" s="203" t="s">
        <v>892</v>
      </c>
      <c r="C813" s="206" t="s">
        <v>174</v>
      </c>
      <c r="D813" s="274">
        <v>14.326700000000001</v>
      </c>
    </row>
    <row r="814" spans="1:4" ht="15" customHeight="1">
      <c r="A814" s="206" t="s">
        <v>893</v>
      </c>
      <c r="B814" s="203" t="s">
        <v>894</v>
      </c>
      <c r="C814" s="206" t="s">
        <v>174</v>
      </c>
      <c r="D814" s="274">
        <v>23.02</v>
      </c>
    </row>
    <row r="815" spans="1:4" ht="15" customHeight="1">
      <c r="A815" s="206" t="s">
        <v>895</v>
      </c>
      <c r="B815" s="203" t="s">
        <v>896</v>
      </c>
      <c r="C815" s="206" t="s">
        <v>174</v>
      </c>
      <c r="D815" s="274">
        <v>45.454545454545453</v>
      </c>
    </row>
    <row r="816" spans="1:4" ht="15" customHeight="1">
      <c r="A816" s="206" t="s">
        <v>897</v>
      </c>
      <c r="B816" s="203" t="s">
        <v>898</v>
      </c>
      <c r="C816" s="206" t="s">
        <v>174</v>
      </c>
      <c r="D816" s="274">
        <v>456.4</v>
      </c>
    </row>
    <row r="817" spans="1:4" ht="15" customHeight="1">
      <c r="A817" s="206" t="s">
        <v>899</v>
      </c>
      <c r="B817" s="203" t="s">
        <v>900</v>
      </c>
      <c r="C817" s="206" t="s">
        <v>174</v>
      </c>
      <c r="D817" s="274">
        <v>152.6694214876033</v>
      </c>
    </row>
    <row r="818" spans="1:4" ht="15" customHeight="1">
      <c r="A818" s="206" t="s">
        <v>901</v>
      </c>
      <c r="B818" s="203" t="s">
        <v>902</v>
      </c>
      <c r="C818" s="206" t="s">
        <v>174</v>
      </c>
      <c r="D818" s="274">
        <v>501.65289256198349</v>
      </c>
    </row>
    <row r="819" spans="1:4" ht="15" customHeight="1">
      <c r="A819" s="206" t="s">
        <v>903</v>
      </c>
      <c r="B819" s="203" t="s">
        <v>904</v>
      </c>
      <c r="C819" s="206" t="s">
        <v>174</v>
      </c>
      <c r="D819" s="274">
        <v>542.27272727272725</v>
      </c>
    </row>
    <row r="820" spans="1:4" ht="15" customHeight="1">
      <c r="A820" s="206" t="s">
        <v>905</v>
      </c>
      <c r="B820" s="203" t="s">
        <v>906</v>
      </c>
      <c r="C820" s="206" t="s">
        <v>174</v>
      </c>
      <c r="D820" s="274">
        <v>416</v>
      </c>
    </row>
    <row r="821" spans="1:4" ht="15" customHeight="1">
      <c r="A821" s="206" t="s">
        <v>907</v>
      </c>
      <c r="B821" s="203" t="s">
        <v>908</v>
      </c>
      <c r="C821" s="206" t="s">
        <v>174</v>
      </c>
      <c r="D821" s="274">
        <v>82.63636363636364</v>
      </c>
    </row>
    <row r="822" spans="1:4" ht="15" customHeight="1">
      <c r="A822" s="206" t="s">
        <v>909</v>
      </c>
      <c r="B822" s="203" t="s">
        <v>910</v>
      </c>
      <c r="C822" s="206" t="s">
        <v>174</v>
      </c>
      <c r="D822" s="274">
        <v>52.892561983471076</v>
      </c>
    </row>
    <row r="823" spans="1:4" ht="15" customHeight="1">
      <c r="A823" s="206" t="s">
        <v>911</v>
      </c>
      <c r="B823" s="203" t="s">
        <v>912</v>
      </c>
      <c r="C823" s="206" t="s">
        <v>174</v>
      </c>
      <c r="D823" s="274">
        <v>85.123966942148769</v>
      </c>
    </row>
    <row r="824" spans="1:4" ht="15" customHeight="1">
      <c r="A824" s="206" t="s">
        <v>913</v>
      </c>
      <c r="B824" s="203" t="s">
        <v>914</v>
      </c>
      <c r="C824" s="206" t="s">
        <v>174</v>
      </c>
      <c r="D824" s="274">
        <v>95.87</v>
      </c>
    </row>
    <row r="825" spans="1:4" ht="15" customHeight="1">
      <c r="A825" s="206" t="s">
        <v>915</v>
      </c>
      <c r="B825" s="203" t="s">
        <v>916</v>
      </c>
      <c r="C825" s="206" t="s">
        <v>174</v>
      </c>
      <c r="D825" s="274">
        <v>73.347107438016536</v>
      </c>
    </row>
    <row r="826" spans="1:4" ht="15" customHeight="1">
      <c r="A826" s="206" t="s">
        <v>917</v>
      </c>
      <c r="B826" s="203" t="s">
        <v>918</v>
      </c>
      <c r="C826" s="206" t="s">
        <v>174</v>
      </c>
      <c r="D826" s="274">
        <v>22.760330578512395</v>
      </c>
    </row>
    <row r="827" spans="1:4" ht="15" customHeight="1">
      <c r="A827" s="206" t="s">
        <v>919</v>
      </c>
      <c r="B827" s="203" t="s">
        <v>920</v>
      </c>
      <c r="C827" s="206" t="s">
        <v>174</v>
      </c>
      <c r="D827" s="274">
        <v>7.4744010000000003</v>
      </c>
    </row>
    <row r="828" spans="1:4" ht="15" customHeight="1">
      <c r="A828" s="206" t="s">
        <v>921</v>
      </c>
      <c r="B828" s="203" t="s">
        <v>922</v>
      </c>
      <c r="C828" s="206" t="s">
        <v>344</v>
      </c>
      <c r="D828" s="274">
        <v>98.181818181818187</v>
      </c>
    </row>
    <row r="829" spans="1:4" ht="15" customHeight="1">
      <c r="A829" s="206" t="s">
        <v>923</v>
      </c>
      <c r="B829" s="203" t="s">
        <v>924</v>
      </c>
      <c r="C829" s="206" t="s">
        <v>1749</v>
      </c>
      <c r="D829" s="274">
        <v>6.3348416289592757</v>
      </c>
    </row>
    <row r="830" spans="1:4" ht="15" customHeight="1">
      <c r="A830" s="206" t="s">
        <v>925</v>
      </c>
      <c r="B830" s="203" t="s">
        <v>926</v>
      </c>
      <c r="C830" s="206" t="s">
        <v>1749</v>
      </c>
      <c r="D830" s="274">
        <v>10.859728506787331</v>
      </c>
    </row>
    <row r="831" spans="1:4" ht="15" customHeight="1">
      <c r="A831" s="206" t="s">
        <v>927</v>
      </c>
      <c r="B831" s="203" t="s">
        <v>928</v>
      </c>
      <c r="C831" s="206" t="s">
        <v>1749</v>
      </c>
      <c r="D831" s="274">
        <v>15.991735537190083</v>
      </c>
    </row>
    <row r="832" spans="1:4" ht="15" customHeight="1">
      <c r="A832" s="206" t="s">
        <v>929</v>
      </c>
      <c r="B832" s="203" t="s">
        <v>930</v>
      </c>
      <c r="C832" s="206" t="s">
        <v>1749</v>
      </c>
      <c r="D832" s="274">
        <v>53.266140485000008</v>
      </c>
    </row>
    <row r="833" spans="1:4" ht="15" customHeight="1">
      <c r="A833" s="206" t="s">
        <v>931</v>
      </c>
      <c r="B833" s="203" t="s">
        <v>932</v>
      </c>
      <c r="C833" s="206" t="s">
        <v>1749</v>
      </c>
      <c r="D833" s="274">
        <v>42.169058443200001</v>
      </c>
    </row>
    <row r="834" spans="1:4" ht="15" customHeight="1">
      <c r="A834" s="206" t="s">
        <v>933</v>
      </c>
      <c r="B834" s="203" t="s">
        <v>934</v>
      </c>
      <c r="C834" s="206" t="s">
        <v>1749</v>
      </c>
      <c r="D834" s="274">
        <v>50.439566548800002</v>
      </c>
    </row>
    <row r="835" spans="1:4" ht="15" customHeight="1">
      <c r="A835" s="206" t="s">
        <v>935</v>
      </c>
      <c r="B835" s="203" t="s">
        <v>936</v>
      </c>
      <c r="C835" s="206" t="s">
        <v>174</v>
      </c>
      <c r="D835" s="274">
        <v>2.4793388429752068</v>
      </c>
    </row>
    <row r="836" spans="1:4" ht="15" customHeight="1">
      <c r="A836" s="206" t="s">
        <v>937</v>
      </c>
      <c r="B836" s="203" t="s">
        <v>938</v>
      </c>
      <c r="C836" s="206" t="s">
        <v>174</v>
      </c>
      <c r="D836" s="274">
        <v>8.2644628099173563</v>
      </c>
    </row>
    <row r="837" spans="1:4" ht="15" customHeight="1">
      <c r="A837" s="206" t="s">
        <v>939</v>
      </c>
      <c r="B837" s="203" t="s">
        <v>940</v>
      </c>
      <c r="C837" s="206" t="s">
        <v>174</v>
      </c>
      <c r="D837" s="274">
        <v>6.1919322409999999</v>
      </c>
    </row>
    <row r="838" spans="1:4" ht="15" customHeight="1">
      <c r="A838" s="206" t="s">
        <v>941</v>
      </c>
      <c r="B838" s="203" t="s">
        <v>942</v>
      </c>
      <c r="C838" s="206" t="s">
        <v>174</v>
      </c>
      <c r="D838" s="274">
        <v>6.1919322409999999</v>
      </c>
    </row>
    <row r="839" spans="1:4" ht="15" customHeight="1">
      <c r="A839" s="206" t="s">
        <v>943</v>
      </c>
      <c r="B839" s="203" t="s">
        <v>944</v>
      </c>
      <c r="C839" s="206" t="s">
        <v>174</v>
      </c>
      <c r="D839" s="274">
        <v>45</v>
      </c>
    </row>
    <row r="840" spans="1:4" ht="15" customHeight="1">
      <c r="A840" s="206" t="s">
        <v>945</v>
      </c>
      <c r="B840" s="203" t="s">
        <v>946</v>
      </c>
      <c r="C840" s="206" t="s">
        <v>174</v>
      </c>
      <c r="D840" s="274">
        <v>99.900826446280988</v>
      </c>
    </row>
    <row r="841" spans="1:4" ht="15" customHeight="1">
      <c r="A841" s="206" t="s">
        <v>947</v>
      </c>
      <c r="B841" s="203" t="s">
        <v>948</v>
      </c>
      <c r="C841" s="206" t="s">
        <v>174</v>
      </c>
      <c r="D841" s="274">
        <v>9.9173553719008272</v>
      </c>
    </row>
    <row r="842" spans="1:4" ht="15" customHeight="1">
      <c r="A842" s="206" t="s">
        <v>949</v>
      </c>
      <c r="B842" s="203" t="s">
        <v>950</v>
      </c>
      <c r="C842" s="206" t="s">
        <v>174</v>
      </c>
      <c r="D842" s="274">
        <v>3.6199095022624435</v>
      </c>
    </row>
    <row r="843" spans="1:4" ht="15" customHeight="1">
      <c r="A843" s="206" t="s">
        <v>951</v>
      </c>
      <c r="B843" s="203" t="s">
        <v>952</v>
      </c>
      <c r="C843" s="206" t="s">
        <v>174</v>
      </c>
      <c r="D843" s="274">
        <v>10.859728506787331</v>
      </c>
    </row>
    <row r="844" spans="1:4" ht="15" customHeight="1">
      <c r="A844" s="206" t="s">
        <v>953</v>
      </c>
      <c r="B844" s="203" t="s">
        <v>954</v>
      </c>
      <c r="C844" s="206" t="s">
        <v>174</v>
      </c>
      <c r="D844" s="274">
        <v>18</v>
      </c>
    </row>
    <row r="845" spans="1:4" ht="15" customHeight="1">
      <c r="A845" s="206" t="s">
        <v>955</v>
      </c>
      <c r="B845" s="203" t="s">
        <v>956</v>
      </c>
      <c r="C845" s="206" t="s">
        <v>174</v>
      </c>
      <c r="D845" s="274">
        <v>667.08264462809916</v>
      </c>
    </row>
    <row r="846" spans="1:4" ht="15" customHeight="1">
      <c r="A846" s="206" t="s">
        <v>957</v>
      </c>
      <c r="B846" s="203" t="s">
        <v>958</v>
      </c>
      <c r="C846" s="206" t="s">
        <v>174</v>
      </c>
      <c r="D846" s="274">
        <v>713.04958677685954</v>
      </c>
    </row>
    <row r="847" spans="1:4" ht="15" customHeight="1">
      <c r="A847" s="206" t="s">
        <v>959</v>
      </c>
      <c r="B847" s="203" t="s">
        <v>960</v>
      </c>
      <c r="C847" s="206" t="s">
        <v>174</v>
      </c>
      <c r="D847" s="274">
        <v>720.47700000000009</v>
      </c>
    </row>
    <row r="848" spans="1:4" ht="15" customHeight="1">
      <c r="A848" s="206" t="s">
        <v>961</v>
      </c>
      <c r="B848" s="203" t="s">
        <v>962</v>
      </c>
      <c r="C848" s="206" t="s">
        <v>174</v>
      </c>
      <c r="D848" s="274">
        <v>93.22</v>
      </c>
    </row>
    <row r="849" spans="1:4" ht="15" customHeight="1">
      <c r="A849" s="206" t="s">
        <v>963</v>
      </c>
      <c r="B849" s="203" t="s">
        <v>964</v>
      </c>
      <c r="C849" s="206" t="s">
        <v>174</v>
      </c>
      <c r="D849" s="274">
        <v>129.20124999999999</v>
      </c>
    </row>
    <row r="850" spans="1:4" ht="15" customHeight="1">
      <c r="A850" s="206" t="s">
        <v>965</v>
      </c>
      <c r="B850" s="203" t="s">
        <v>966</v>
      </c>
      <c r="C850" s="206" t="s">
        <v>174</v>
      </c>
      <c r="D850" s="274">
        <v>143.25399999999999</v>
      </c>
    </row>
    <row r="851" spans="1:4" ht="15" customHeight="1">
      <c r="A851" s="206" t="s">
        <v>967</v>
      </c>
      <c r="B851" s="203" t="s">
        <v>968</v>
      </c>
      <c r="C851" s="206" t="s">
        <v>174</v>
      </c>
      <c r="D851" s="274">
        <v>55</v>
      </c>
    </row>
    <row r="852" spans="1:4" ht="15" customHeight="1">
      <c r="A852" s="206" t="s">
        <v>969</v>
      </c>
      <c r="B852" s="203" t="s">
        <v>970</v>
      </c>
      <c r="C852" s="206" t="s">
        <v>174</v>
      </c>
      <c r="D852" s="274">
        <v>142.65</v>
      </c>
    </row>
    <row r="853" spans="1:4" ht="15" customHeight="1">
      <c r="A853" s="206" t="s">
        <v>971</v>
      </c>
      <c r="B853" s="203" t="s">
        <v>972</v>
      </c>
      <c r="C853" s="206" t="s">
        <v>174</v>
      </c>
      <c r="D853" s="274">
        <v>35.537190082644628</v>
      </c>
    </row>
    <row r="854" spans="1:4" ht="15" customHeight="1">
      <c r="A854" s="206" t="s">
        <v>1267</v>
      </c>
      <c r="B854" s="203" t="s">
        <v>973</v>
      </c>
      <c r="C854" s="206" t="s">
        <v>174</v>
      </c>
      <c r="D854" s="274">
        <v>81.25</v>
      </c>
    </row>
    <row r="855" spans="1:4" ht="15" customHeight="1">
      <c r="A855" s="206" t="s">
        <v>974</v>
      </c>
      <c r="B855" s="203" t="s">
        <v>975</v>
      </c>
      <c r="C855" s="206" t="s">
        <v>174</v>
      </c>
      <c r="D855" s="274">
        <v>80.772599999999997</v>
      </c>
    </row>
    <row r="856" spans="1:4" ht="15" customHeight="1">
      <c r="A856" s="206" t="s">
        <v>976</v>
      </c>
      <c r="B856" s="203" t="s">
        <v>977</v>
      </c>
      <c r="C856" s="206" t="s">
        <v>174</v>
      </c>
      <c r="D856" s="274">
        <v>12.504200000000001</v>
      </c>
    </row>
    <row r="857" spans="1:4" ht="15" customHeight="1">
      <c r="A857" s="206" t="s">
        <v>978</v>
      </c>
      <c r="B857" s="203" t="s">
        <v>979</v>
      </c>
      <c r="C857" s="206" t="s">
        <v>1876</v>
      </c>
      <c r="D857" s="274">
        <v>785.12396694214874</v>
      </c>
    </row>
    <row r="858" spans="1:4" ht="15" customHeight="1">
      <c r="A858" s="206" t="s">
        <v>980</v>
      </c>
      <c r="B858" s="203" t="s">
        <v>981</v>
      </c>
      <c r="C858" s="206" t="s">
        <v>1876</v>
      </c>
      <c r="D858" s="274">
        <v>867.76859504132233</v>
      </c>
    </row>
    <row r="859" spans="1:4" ht="15" customHeight="1">
      <c r="A859" s="206" t="s">
        <v>982</v>
      </c>
      <c r="B859" s="203" t="s">
        <v>983</v>
      </c>
      <c r="C859" s="206" t="s">
        <v>1876</v>
      </c>
      <c r="D859" s="274">
        <v>2575.9657194000001</v>
      </c>
    </row>
    <row r="860" spans="1:4" ht="15" customHeight="1">
      <c r="A860" s="206" t="s">
        <v>984</v>
      </c>
      <c r="B860" s="203" t="s">
        <v>985</v>
      </c>
      <c r="C860" s="206" t="s">
        <v>1876</v>
      </c>
      <c r="D860" s="274">
        <v>3033.0000000000005</v>
      </c>
    </row>
    <row r="861" spans="1:4" ht="15" customHeight="1">
      <c r="A861" s="206" t="s">
        <v>986</v>
      </c>
      <c r="B861" s="203" t="s">
        <v>987</v>
      </c>
      <c r="C861" s="206" t="s">
        <v>1876</v>
      </c>
      <c r="D861" s="274">
        <v>36.921074380165287</v>
      </c>
    </row>
    <row r="862" spans="1:4" ht="15" customHeight="1">
      <c r="A862" s="206" t="s">
        <v>988</v>
      </c>
      <c r="B862" s="203" t="s">
        <v>989</v>
      </c>
      <c r="C862" s="206" t="s">
        <v>1876</v>
      </c>
      <c r="D862" s="274">
        <v>1115.702479338843</v>
      </c>
    </row>
    <row r="863" spans="1:4" ht="15" customHeight="1">
      <c r="A863" s="206" t="s">
        <v>990</v>
      </c>
      <c r="B863" s="203" t="s">
        <v>991</v>
      </c>
      <c r="C863" s="206" t="s">
        <v>174</v>
      </c>
      <c r="D863" s="274">
        <v>28.586776859504134</v>
      </c>
    </row>
    <row r="864" spans="1:4" ht="15" customHeight="1">
      <c r="A864" s="206" t="s">
        <v>992</v>
      </c>
      <c r="B864" s="203" t="s">
        <v>993</v>
      </c>
      <c r="C864" s="206" t="s">
        <v>174</v>
      </c>
      <c r="D864" s="274">
        <v>30.743801652892564</v>
      </c>
    </row>
    <row r="865" spans="1:17" ht="15" customHeight="1">
      <c r="A865" s="206" t="s">
        <v>995</v>
      </c>
      <c r="B865" s="203" t="s">
        <v>996</v>
      </c>
      <c r="C865" s="206" t="s">
        <v>1876</v>
      </c>
      <c r="D865" s="274">
        <v>132.2314049586777</v>
      </c>
    </row>
    <row r="866" spans="1:17" ht="15" customHeight="1">
      <c r="A866" s="206" t="s">
        <v>997</v>
      </c>
      <c r="B866" s="203" t="s">
        <v>998</v>
      </c>
      <c r="C866" s="206" t="s">
        <v>1876</v>
      </c>
      <c r="D866" s="274">
        <v>71.069999999999993</v>
      </c>
    </row>
    <row r="867" spans="1:17" ht="15" customHeight="1">
      <c r="A867" s="206" t="s">
        <v>999</v>
      </c>
      <c r="B867" s="203" t="s">
        <v>1000</v>
      </c>
      <c r="C867" s="206" t="s">
        <v>1876</v>
      </c>
      <c r="D867" s="274">
        <v>54.29</v>
      </c>
    </row>
    <row r="868" spans="1:17" ht="15" customHeight="1">
      <c r="A868" s="206" t="s">
        <v>1001</v>
      </c>
      <c r="B868" s="203" t="s">
        <v>1002</v>
      </c>
      <c r="C868" s="206" t="s">
        <v>1749</v>
      </c>
      <c r="D868" s="274">
        <v>32.231404958677686</v>
      </c>
    </row>
    <row r="869" spans="1:17" ht="15" customHeight="1">
      <c r="A869" s="206" t="s">
        <v>1003</v>
      </c>
      <c r="B869" s="203" t="s">
        <v>1004</v>
      </c>
      <c r="C869" s="206" t="s">
        <v>1749</v>
      </c>
      <c r="D869" s="274">
        <v>28.93</v>
      </c>
    </row>
    <row r="870" spans="1:17" ht="15" customHeight="1">
      <c r="A870" s="206" t="s">
        <v>1005</v>
      </c>
      <c r="B870" s="203" t="s">
        <v>1006</v>
      </c>
      <c r="C870" s="206" t="s">
        <v>1749</v>
      </c>
      <c r="D870" s="274">
        <v>30</v>
      </c>
    </row>
    <row r="871" spans="1:17" ht="15" customHeight="1">
      <c r="A871" s="206" t="s">
        <v>1007</v>
      </c>
      <c r="B871" s="203" t="s">
        <v>1008</v>
      </c>
      <c r="C871" s="206" t="s">
        <v>1749</v>
      </c>
      <c r="D871" s="274">
        <v>30</v>
      </c>
    </row>
    <row r="872" spans="1:17" ht="15" customHeight="1">
      <c r="A872" s="206" t="s">
        <v>1009</v>
      </c>
      <c r="B872" s="203" t="s">
        <v>1010</v>
      </c>
      <c r="C872" s="206" t="s">
        <v>1749</v>
      </c>
      <c r="D872" s="274">
        <v>31.41</v>
      </c>
    </row>
    <row r="873" spans="1:17" ht="15" customHeight="1">
      <c r="A873" s="206" t="s">
        <v>1011</v>
      </c>
      <c r="B873" s="203" t="s">
        <v>1012</v>
      </c>
      <c r="C873" s="206" t="s">
        <v>1876</v>
      </c>
      <c r="D873" s="274">
        <v>100.82644628099173</v>
      </c>
    </row>
    <row r="874" spans="1:17" ht="15" customHeight="1">
      <c r="A874" s="206" t="s">
        <v>1013</v>
      </c>
      <c r="B874" s="203" t="s">
        <v>1014</v>
      </c>
      <c r="C874" s="206" t="s">
        <v>1876</v>
      </c>
      <c r="D874" s="274">
        <v>62.636980000000008</v>
      </c>
    </row>
    <row r="875" spans="1:17" ht="15" customHeight="1">
      <c r="A875" s="206"/>
      <c r="B875" s="203"/>
      <c r="C875" s="206"/>
      <c r="D875" s="274"/>
      <c r="Q875" s="408" t="s">
        <v>1966</v>
      </c>
    </row>
    <row r="876" spans="1:17" ht="15" customHeight="1">
      <c r="A876" s="206"/>
      <c r="B876" s="203"/>
      <c r="C876" s="206"/>
      <c r="D876" s="274"/>
      <c r="Q876" s="408" t="s">
        <v>1966</v>
      </c>
    </row>
    <row r="877" spans="1:17" ht="15" customHeight="1">
      <c r="A877" s="206"/>
      <c r="B877" s="203"/>
      <c r="C877" s="206"/>
      <c r="D877" s="274"/>
      <c r="Q877" s="408" t="s">
        <v>1966</v>
      </c>
    </row>
    <row r="878" spans="1:17" ht="15" customHeight="1">
      <c r="A878" s="206" t="s">
        <v>1015</v>
      </c>
      <c r="B878" s="203" t="s">
        <v>1016</v>
      </c>
      <c r="C878" s="206" t="s">
        <v>1876</v>
      </c>
      <c r="D878" s="274">
        <v>264.4628099173554</v>
      </c>
    </row>
    <row r="879" spans="1:17" ht="15" customHeight="1">
      <c r="A879" s="206" t="s">
        <v>1017</v>
      </c>
      <c r="B879" s="203" t="s">
        <v>1018</v>
      </c>
      <c r="C879" s="206" t="s">
        <v>1876</v>
      </c>
      <c r="D879" s="274">
        <v>368.59504132231405</v>
      </c>
    </row>
    <row r="880" spans="1:17" ht="15" customHeight="1">
      <c r="A880" s="206" t="s">
        <v>1019</v>
      </c>
      <c r="B880" s="203" t="s">
        <v>1020</v>
      </c>
      <c r="C880" s="206" t="s">
        <v>1876</v>
      </c>
      <c r="D880" s="274">
        <v>807.43801652892569</v>
      </c>
    </row>
    <row r="882" spans="2:4" ht="15.75">
      <c r="B882" s="428"/>
      <c r="D882" s="429"/>
    </row>
  </sheetData>
  <customSheetViews>
    <customSheetView guid="{0D76B64C-AC04-4788-917D-4511FD9E9090}" showPageBreaks="1" showGridLines="0" printArea="1" showAutoFilter="1" showRuler="0">
      <selection activeCell="A15" sqref="A15"/>
      <pageMargins left="1.02" right="0.75" top="0.78740157480314965" bottom="1.5" header="0.39370078740157483" footer="0.55118110236220474"/>
      <pageSetup paperSize="5" orientation="portrait" horizontalDpi="300" r:id="rId1"/>
      <headerFooter alignWithMargins="0">
        <oddFooter>&amp;C&amp;"Arial,Negrita"&amp;10&amp;P</oddFooter>
      </headerFooter>
      <autoFilter ref="B1:G1"/>
    </customSheetView>
    <customSheetView guid="{C15E55D9-D809-4247-9CD0-BFBEBF5D5546}" showGridLines="0" showAutoFilter="1" showRuler="0">
      <selection activeCell="D23" sqref="D23"/>
      <pageMargins left="1.02" right="0.75" top="0.78740157480314965" bottom="1.5" header="0.39370078740157483" footer="0.55118110236220474"/>
      <pageSetup paperSize="5" orientation="portrait" horizontalDpi="300" r:id="rId2"/>
      <headerFooter alignWithMargins="0">
        <oddFooter>&amp;C&amp;"Arial,Negrita"&amp;10&amp;P</oddFooter>
      </headerFooter>
      <autoFilter ref="B1:G1"/>
    </customSheetView>
    <customSheetView guid="{D8392041-DA66-4755-A670-C1D45774EC77}" scale="75" showGridLines="0" hiddenRows="1" hiddenColumns="1" showRuler="0">
      <pane ySplit="5" topLeftCell="A6" activePane="bottomLeft" state="frozen"/>
      <selection pane="bottomLeft" activeCell="B15" sqref="B15"/>
      <pageMargins left="0.86" right="0.75" top="0.53" bottom="0.47244094488188981" header="0.57999999999999996" footer="0.23622047244094491"/>
      <pageSetup paperSize="5" scale="85" orientation="portrait" horizontalDpi="300" verticalDpi="300" r:id="rId3"/>
      <headerFooter alignWithMargins="0"/>
    </customSheetView>
  </customSheetViews>
  <mergeCells count="2">
    <mergeCell ref="A2:G2"/>
    <mergeCell ref="A1:O1"/>
  </mergeCells>
  <phoneticPr fontId="0" type="noConversion"/>
  <pageMargins left="1.4566929133858268" right="0" top="0.51181102362204722" bottom="1.2598425196850394" header="0.59055118110236227" footer="0.23622047244094491"/>
  <pageSetup paperSize="9" scale="85" orientation="portrait" horizontalDpi="300" verticalDpi="300" r:id="rId4"/>
  <headerFooter alignWithMargins="0"/>
  <legacyDrawing r:id="rId5"/>
</worksheet>
</file>

<file path=xl/worksheets/sheet20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9">
    <tabColor indexed="24"/>
  </sheetPr>
  <dimension ref="A1:G109"/>
  <sheetViews>
    <sheetView showGridLines="0" zoomScale="90" zoomScaleNormal="75" zoomScaleSheetLayoutView="75" workbookViewId="0">
      <selection activeCell="A105" sqref="A105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/>
    <row r="2" spans="1:7" ht="13.5" thickTop="1">
      <c r="A2" s="75" t="s">
        <v>342</v>
      </c>
      <c r="B2" s="218" t="s">
        <v>21</v>
      </c>
      <c r="C2" s="77" t="str">
        <f>Fecha</f>
        <v>Oct-14</v>
      </c>
      <c r="D2" s="48"/>
      <c r="E2" s="48"/>
      <c r="F2" s="219">
        <f>SUM(F5:F9)</f>
        <v>34.69602310512397</v>
      </c>
      <c r="G2" s="41"/>
    </row>
    <row r="3" spans="1:7" ht="13.5" thickBot="1">
      <c r="A3" s="7" t="s">
        <v>341</v>
      </c>
      <c r="B3" s="7" t="s">
        <v>1722</v>
      </c>
      <c r="C3" s="78" t="s">
        <v>340</v>
      </c>
      <c r="D3" s="49" t="s">
        <v>22</v>
      </c>
      <c r="E3" s="50"/>
      <c r="F3" s="68"/>
      <c r="G3" s="42" t="s">
        <v>1749</v>
      </c>
    </row>
    <row r="4" spans="1:7" ht="13.5" thickTop="1">
      <c r="A4" s="82" t="s">
        <v>346</v>
      </c>
      <c r="D4" s="51"/>
      <c r="E4" s="51"/>
      <c r="F4" s="69"/>
    </row>
    <row r="5" spans="1:7">
      <c r="A5" s="3" t="s">
        <v>1620</v>
      </c>
      <c r="B5" s="4" t="str">
        <f>VLOOKUP(A5,Insumos,2)</f>
        <v>alambre de puas x 500 m.</v>
      </c>
      <c r="C5" s="6" t="str">
        <f>VLOOKUP(A5,Insumos,3)</f>
        <v>rollo</v>
      </c>
      <c r="D5" s="51">
        <f>4.1/500</f>
        <v>8.199999999999999E-3</v>
      </c>
      <c r="E5" s="51">
        <f>VLOOKUP(A5,'IN-10-14'!A6:D880,4)</f>
        <v>732.9</v>
      </c>
      <c r="F5" s="69">
        <f>(D5*E5)</f>
        <v>6.0097799999999992</v>
      </c>
    </row>
    <row r="6" spans="1:7">
      <c r="A6" s="3" t="s">
        <v>1621</v>
      </c>
      <c r="B6" s="4" t="str">
        <f>VLOOKUP(A6,Insumos,2)</f>
        <v>pintura asfáltica secado rapido</v>
      </c>
      <c r="C6" s="6" t="str">
        <f>VLOOKUP(A6,Insumos,3)</f>
        <v>l</v>
      </c>
      <c r="D6" s="51">
        <v>7.0000000000000007E-2</v>
      </c>
      <c r="E6" s="51">
        <f>VLOOKUP(A6,'IN-10-14'!A7:D881,4)</f>
        <v>23.237676</v>
      </c>
      <c r="F6" s="69">
        <f>(D6*E6)</f>
        <v>1.6266373200000002</v>
      </c>
    </row>
    <row r="7" spans="1:7">
      <c r="A7" s="3" t="s">
        <v>145</v>
      </c>
      <c r="B7" s="4" t="str">
        <f>VLOOKUP(A7,Insumos,2)</f>
        <v>madera 1" pino nacional s/cepillar</v>
      </c>
      <c r="C7" s="6" t="str">
        <f>VLOOKUP(A7,Insumos,3)</f>
        <v>m2</v>
      </c>
      <c r="D7" s="51">
        <v>8.2199999999999995E-2</v>
      </c>
      <c r="E7" s="51">
        <f>VLOOKUP(A7,'IN-10-14'!A8:D882,4)</f>
        <v>95.177685950413235</v>
      </c>
      <c r="F7" s="69">
        <f>(D7*E7)</f>
        <v>7.8236057851239673</v>
      </c>
    </row>
    <row r="8" spans="1:7">
      <c r="A8" s="82" t="s">
        <v>347</v>
      </c>
      <c r="D8" s="51"/>
      <c r="E8" s="51"/>
      <c r="F8" s="69"/>
    </row>
    <row r="9" spans="1:7">
      <c r="A9" s="3" t="s">
        <v>1575</v>
      </c>
      <c r="B9" s="4" t="str">
        <f>VLOOKUP(A9,Insumos,2)</f>
        <v>cuadrilla tipo UOCRA</v>
      </c>
      <c r="C9" s="6" t="str">
        <f>VLOOKUP(A9,Insumos,3)</f>
        <v>h</v>
      </c>
      <c r="D9" s="51">
        <v>0.3</v>
      </c>
      <c r="E9" s="51">
        <f>VLOOKUP(A9,'IN-10-14'!A10:D884,4)</f>
        <v>64.12</v>
      </c>
      <c r="F9" s="69">
        <f>(D9*E9)</f>
        <v>19.236000000000001</v>
      </c>
    </row>
    <row r="10" spans="1:7" ht="13.5" thickBot="1">
      <c r="A10" s="3"/>
      <c r="B10" s="4"/>
      <c r="C10" s="78"/>
      <c r="D10" s="51"/>
      <c r="E10" s="51"/>
      <c r="F10" s="69"/>
    </row>
    <row r="11" spans="1:7" ht="13.5" thickTop="1">
      <c r="A11" s="75" t="s">
        <v>342</v>
      </c>
      <c r="B11" s="218" t="s">
        <v>1833</v>
      </c>
      <c r="C11" s="77" t="str">
        <f>Fecha</f>
        <v>Oct-14</v>
      </c>
      <c r="D11" s="48"/>
      <c r="E11" s="48"/>
      <c r="F11" s="219">
        <f>SUM(F14:F18)</f>
        <v>281.40402196113473</v>
      </c>
      <c r="G11" s="41"/>
    </row>
    <row r="12" spans="1:7" ht="13.5" thickBot="1">
      <c r="A12" s="7" t="s">
        <v>341</v>
      </c>
      <c r="B12" s="7" t="s">
        <v>1722</v>
      </c>
      <c r="C12" s="78" t="s">
        <v>340</v>
      </c>
      <c r="D12" s="49" t="s">
        <v>23</v>
      </c>
      <c r="E12" s="50"/>
      <c r="F12" s="68"/>
      <c r="G12" s="42" t="s">
        <v>174</v>
      </c>
    </row>
    <row r="13" spans="1:7" ht="13.5" thickTop="1">
      <c r="A13" s="82" t="s">
        <v>346</v>
      </c>
      <c r="D13" s="51"/>
      <c r="E13" s="51"/>
      <c r="F13" s="69"/>
    </row>
    <row r="14" spans="1:7">
      <c r="A14" s="3" t="s">
        <v>1578</v>
      </c>
      <c r="B14" s="4" t="str">
        <f>VLOOKUP(A14,Insumos,2)</f>
        <v>cemento Portland</v>
      </c>
      <c r="C14" s="6" t="str">
        <f>VLOOKUP(A14,Insumos,3)</f>
        <v>kg</v>
      </c>
      <c r="D14" s="51">
        <f>+D16*250*2</f>
        <v>46.800000000000004</v>
      </c>
      <c r="E14" s="51">
        <f>VLOOKUP(A14,'IN-10-14'!A15:D889,4)</f>
        <v>1.7372000000000001</v>
      </c>
      <c r="F14" s="69">
        <f>(D14*E14)</f>
        <v>81.300960000000018</v>
      </c>
    </row>
    <row r="15" spans="1:7">
      <c r="A15" s="3" t="s">
        <v>1577</v>
      </c>
      <c r="B15" s="4" t="str">
        <f>VLOOKUP(A15,Insumos,2)</f>
        <v>hierro mejorado de 10 mm.</v>
      </c>
      <c r="C15" s="6" t="str">
        <f>VLOOKUP(A15,Insumos,3)</f>
        <v>kg</v>
      </c>
      <c r="D15" s="51">
        <f>0.2*2</f>
        <v>0.4</v>
      </c>
      <c r="E15" s="51">
        <f>VLOOKUP(A15,'IN-10-14'!A7:D890,4)</f>
        <v>10.584654902836721</v>
      </c>
      <c r="F15" s="69">
        <f>(D15*E15)</f>
        <v>4.2338619611346884</v>
      </c>
    </row>
    <row r="16" spans="1:7">
      <c r="A16" s="3" t="s">
        <v>1590</v>
      </c>
      <c r="B16" s="4" t="str">
        <f>VLOOKUP(A16,Insumos,2)</f>
        <v>ripiosa</v>
      </c>
      <c r="C16" s="6" t="str">
        <f>VLOOKUP(A16,Insumos,3)</f>
        <v>m3</v>
      </c>
      <c r="D16" s="51">
        <f>0.0468*2</f>
        <v>9.3600000000000003E-2</v>
      </c>
      <c r="E16" s="51">
        <f>VLOOKUP(A16,'IN-10-14'!A17:D891,4)</f>
        <v>174.5</v>
      </c>
      <c r="F16" s="69">
        <f>(D16*E16)</f>
        <v>16.333200000000001</v>
      </c>
    </row>
    <row r="17" spans="1:7">
      <c r="A17" s="82" t="s">
        <v>347</v>
      </c>
      <c r="D17" s="51"/>
      <c r="E17" s="51"/>
      <c r="F17" s="69"/>
    </row>
    <row r="18" spans="1:7">
      <c r="A18" s="3" t="s">
        <v>1575</v>
      </c>
      <c r="B18" s="4" t="str">
        <f>VLOOKUP(A18,Insumos,2)</f>
        <v>cuadrilla tipo UOCRA</v>
      </c>
      <c r="C18" s="6" t="str">
        <f>VLOOKUP(A18,Insumos,3)</f>
        <v>h</v>
      </c>
      <c r="D18" s="51">
        <f>1.4*2</f>
        <v>2.8</v>
      </c>
      <c r="E18" s="51">
        <f>VLOOKUP(A18,'IN-10-14'!A19:D893,4)</f>
        <v>64.12</v>
      </c>
      <c r="F18" s="69">
        <f>(D18*E18)</f>
        <v>179.536</v>
      </c>
    </row>
    <row r="19" spans="1:7" ht="13.5" thickBot="1">
      <c r="A19" s="3"/>
      <c r="B19" s="4"/>
      <c r="C19" s="6"/>
      <c r="D19" s="51"/>
      <c r="E19" s="51"/>
      <c r="F19" s="69"/>
    </row>
    <row r="20" spans="1:7" ht="13.5" thickTop="1">
      <c r="A20" s="75" t="s">
        <v>342</v>
      </c>
      <c r="B20" s="218" t="s">
        <v>24</v>
      </c>
      <c r="C20" s="77" t="str">
        <f>Fecha</f>
        <v>Oct-14</v>
      </c>
      <c r="D20" s="48"/>
      <c r="E20" s="48"/>
      <c r="F20" s="219">
        <f>SUM(F23:F36)</f>
        <v>402.69292081707101</v>
      </c>
      <c r="G20" s="41"/>
    </row>
    <row r="21" spans="1:7" ht="13.5" thickBot="1">
      <c r="A21" s="7" t="s">
        <v>341</v>
      </c>
      <c r="B21" s="7" t="s">
        <v>1722</v>
      </c>
      <c r="C21" s="78" t="s">
        <v>340</v>
      </c>
      <c r="D21" s="49" t="s">
        <v>1723</v>
      </c>
      <c r="E21" s="50"/>
      <c r="F21" s="68"/>
      <c r="G21" s="42" t="s">
        <v>1749</v>
      </c>
    </row>
    <row r="22" spans="1:7" ht="13.5" thickTop="1">
      <c r="A22" s="82" t="s">
        <v>346</v>
      </c>
      <c r="D22" s="51"/>
      <c r="E22" s="51"/>
      <c r="F22" s="69"/>
    </row>
    <row r="23" spans="1:7">
      <c r="A23" s="3" t="s">
        <v>1578</v>
      </c>
      <c r="B23" s="4" t="str">
        <f t="shared" ref="B23:B32" si="0">VLOOKUP(A23,Insumos,2)</f>
        <v>cemento Portland</v>
      </c>
      <c r="C23" s="6" t="str">
        <f t="shared" ref="C23:C32" si="1">VLOOKUP(A23,Insumos,3)</f>
        <v>kg</v>
      </c>
      <c r="D23" s="51">
        <v>36.67</v>
      </c>
      <c r="E23" s="51">
        <f>VLOOKUP(A23,'IN-10-14'!A24:D898,4)</f>
        <v>1.7372000000000001</v>
      </c>
      <c r="F23" s="69">
        <f t="shared" ref="F23:F32" si="2">(D23*E23)</f>
        <v>63.703124000000003</v>
      </c>
    </row>
    <row r="24" spans="1:7">
      <c r="A24" s="3" t="s">
        <v>1579</v>
      </c>
      <c r="B24" s="4" t="str">
        <f t="shared" si="0"/>
        <v>ripio zarandeado 1/3</v>
      </c>
      <c r="C24" s="6" t="str">
        <f t="shared" si="1"/>
        <v>m3</v>
      </c>
      <c r="D24" s="51">
        <v>0.10299999999999999</v>
      </c>
      <c r="E24" s="51">
        <f>VLOOKUP(A24,'IN-10-14'!A25:D899,4)</f>
        <v>157.18044077134985</v>
      </c>
      <c r="F24" s="69">
        <f t="shared" si="2"/>
        <v>16.189585399449033</v>
      </c>
    </row>
    <row r="25" spans="1:7">
      <c r="A25" s="3" t="s">
        <v>1580</v>
      </c>
      <c r="B25" s="4" t="str">
        <f t="shared" si="0"/>
        <v>arena gruesa</v>
      </c>
      <c r="C25" s="6" t="str">
        <f t="shared" si="1"/>
        <v>m3</v>
      </c>
      <c r="D25" s="51">
        <v>8.7999999999999995E-2</v>
      </c>
      <c r="E25" s="51">
        <f>VLOOKUP(A25,'IN-10-14'!A26:D900,4)</f>
        <v>184.46464646464645</v>
      </c>
      <c r="F25" s="69">
        <f t="shared" si="2"/>
        <v>16.232888888888887</v>
      </c>
    </row>
    <row r="26" spans="1:7">
      <c r="A26" s="3" t="s">
        <v>1724</v>
      </c>
      <c r="B26" s="4" t="str">
        <f t="shared" si="0"/>
        <v>alambre romboidal 150x50x14</v>
      </c>
      <c r="C26" s="6" t="str">
        <f t="shared" si="1"/>
        <v>m</v>
      </c>
      <c r="D26" s="51">
        <v>1</v>
      </c>
      <c r="E26" s="51">
        <f>VLOOKUP(A26,'IN-10-14'!A14:D901,4)</f>
        <v>45.790500000000002</v>
      </c>
      <c r="F26" s="69">
        <f t="shared" si="2"/>
        <v>45.790500000000002</v>
      </c>
    </row>
    <row r="27" spans="1:7">
      <c r="A27" s="3" t="s">
        <v>1725</v>
      </c>
      <c r="B27" s="4" t="str">
        <f t="shared" si="0"/>
        <v>alambre galvaniz. 16/14</v>
      </c>
      <c r="C27" s="6" t="str">
        <f t="shared" si="1"/>
        <v>m</v>
      </c>
      <c r="D27" s="51">
        <v>2</v>
      </c>
      <c r="E27" s="51">
        <f>VLOOKUP(A27,'IN-10-14'!A16:D902,4)</f>
        <v>1.0395000000000001</v>
      </c>
      <c r="F27" s="69">
        <f t="shared" si="2"/>
        <v>2.0790000000000002</v>
      </c>
    </row>
    <row r="28" spans="1:7">
      <c r="A28" s="3" t="s">
        <v>1620</v>
      </c>
      <c r="B28" s="4" t="str">
        <f t="shared" si="0"/>
        <v>alambre de puas x 500 m.</v>
      </c>
      <c r="C28" s="6" t="str">
        <f t="shared" si="1"/>
        <v>rollo</v>
      </c>
      <c r="D28" s="51">
        <v>6.0000000000000001E-3</v>
      </c>
      <c r="E28" s="51">
        <f>VLOOKUP(A28,'IN-10-14'!A6:D903,4)</f>
        <v>732.9</v>
      </c>
      <c r="F28" s="69">
        <f t="shared" si="2"/>
        <v>4.3974000000000002</v>
      </c>
    </row>
    <row r="29" spans="1:7">
      <c r="A29" s="3" t="s">
        <v>1726</v>
      </c>
      <c r="B29" s="4" t="str">
        <f t="shared" si="0"/>
        <v>gancho p/alambre tejido 3/8"x200 mm</v>
      </c>
      <c r="C29" s="6" t="str">
        <f t="shared" si="1"/>
        <v>u</v>
      </c>
      <c r="D29" s="51">
        <v>1</v>
      </c>
      <c r="E29" s="51">
        <f>VLOOKUP(A29,'IN-10-14'!A21:D904,4)</f>
        <v>6.3944999999999999</v>
      </c>
      <c r="F29" s="69">
        <f t="shared" si="2"/>
        <v>6.3944999999999999</v>
      </c>
    </row>
    <row r="30" spans="1:7">
      <c r="A30" s="3" t="s">
        <v>1727</v>
      </c>
      <c r="B30" s="4" t="str">
        <f t="shared" si="0"/>
        <v>hierro planchuela 1/2"x1/8"</v>
      </c>
      <c r="C30" s="6" t="str">
        <f t="shared" si="1"/>
        <v>m</v>
      </c>
      <c r="D30" s="51">
        <v>1</v>
      </c>
      <c r="E30" s="51">
        <f>VLOOKUP(A30,'IN-10-14'!A18:D905,4)</f>
        <v>4.7926997245179068</v>
      </c>
      <c r="F30" s="69">
        <f t="shared" si="2"/>
        <v>4.7926997245179068</v>
      </c>
    </row>
    <row r="31" spans="1:7">
      <c r="A31" s="3" t="s">
        <v>1728</v>
      </c>
      <c r="B31" s="4" t="str">
        <f t="shared" si="0"/>
        <v>poste esquinero x 3,05 m</v>
      </c>
      <c r="C31" s="6" t="str">
        <f t="shared" si="1"/>
        <v>u</v>
      </c>
      <c r="D31" s="51">
        <v>1.2999999999999999E-2</v>
      </c>
      <c r="E31" s="51">
        <f>VLOOKUP(A31,'IN-10-14'!A32:D906,4)</f>
        <v>300.57851239669424</v>
      </c>
      <c r="F31" s="69">
        <f t="shared" si="2"/>
        <v>3.907520661157025</v>
      </c>
    </row>
    <row r="32" spans="1:7">
      <c r="A32" s="3" t="s">
        <v>1729</v>
      </c>
      <c r="B32" s="4" t="str">
        <f t="shared" si="0"/>
        <v>poste intermedio x 3,05 m</v>
      </c>
      <c r="C32" s="6" t="str">
        <f t="shared" si="1"/>
        <v>u</v>
      </c>
      <c r="D32" s="51">
        <v>0.33</v>
      </c>
      <c r="E32" s="51">
        <f>VLOOKUP(A32,'IN-10-14'!A33:D907,4)</f>
        <v>175.16528925619835</v>
      </c>
      <c r="F32" s="69">
        <f t="shared" si="2"/>
        <v>57.804545454545455</v>
      </c>
    </row>
    <row r="33" spans="1:7">
      <c r="A33" s="82" t="s">
        <v>347</v>
      </c>
      <c r="D33" s="51"/>
      <c r="E33" s="51"/>
      <c r="F33" s="69"/>
    </row>
    <row r="34" spans="1:7">
      <c r="A34" s="3" t="s">
        <v>1575</v>
      </c>
      <c r="B34" s="4" t="str">
        <f>VLOOKUP(A34,Insumos,2)</f>
        <v>cuadrilla tipo UOCRA</v>
      </c>
      <c r="C34" s="6" t="str">
        <f>VLOOKUP(A34,Insumos,3)</f>
        <v>h</v>
      </c>
      <c r="D34" s="51">
        <v>2.7</v>
      </c>
      <c r="E34" s="51">
        <f>VLOOKUP(A34,'IN-10-14'!A35:D909,4)</f>
        <v>64.12</v>
      </c>
      <c r="F34" s="69">
        <f>(D34*E34)</f>
        <v>173.12400000000002</v>
      </c>
    </row>
    <row r="35" spans="1:7">
      <c r="A35" s="84" t="s">
        <v>348</v>
      </c>
      <c r="B35" s="4"/>
      <c r="C35" s="6"/>
      <c r="D35" s="51"/>
      <c r="E35" s="51"/>
      <c r="F35" s="69"/>
    </row>
    <row r="36" spans="1:7">
      <c r="A36" s="3" t="s">
        <v>1581</v>
      </c>
      <c r="B36" s="4" t="str">
        <f>VLOOKUP(A36,Insumos,2)</f>
        <v>canasta 2 (mixer 5m3)</v>
      </c>
      <c r="C36" s="6" t="str">
        <f>VLOOKUP(A36,Insumos,3)</f>
        <v>h</v>
      </c>
      <c r="D36" s="51">
        <v>0.01</v>
      </c>
      <c r="E36" s="51">
        <f>VLOOKUP(A36,'IN-10-14'!A37:D911,4)</f>
        <v>827.71566885125844</v>
      </c>
      <c r="F36" s="69">
        <f>(D36*E36)</f>
        <v>8.2771566885125853</v>
      </c>
    </row>
    <row r="37" spans="1:7" ht="13.5" thickBot="1">
      <c r="A37" s="3"/>
      <c r="B37" s="4"/>
      <c r="C37" s="6"/>
      <c r="D37" s="51"/>
      <c r="E37" s="51"/>
      <c r="F37" s="69"/>
    </row>
    <row r="38" spans="1:7" ht="13.5" thickTop="1">
      <c r="A38" s="75" t="s">
        <v>342</v>
      </c>
      <c r="B38" s="218" t="s">
        <v>25</v>
      </c>
      <c r="C38" s="77" t="str">
        <f>Fecha</f>
        <v>Oct-14</v>
      </c>
      <c r="D38" s="48"/>
      <c r="E38" s="48"/>
      <c r="F38" s="219">
        <f>SUM(F41:F46)</f>
        <v>1731.3726267540505</v>
      </c>
      <c r="G38" s="41"/>
    </row>
    <row r="39" spans="1:7" ht="13.5" thickBot="1">
      <c r="A39" s="7" t="s">
        <v>341</v>
      </c>
      <c r="B39" s="7" t="s">
        <v>1722</v>
      </c>
      <c r="C39" s="78" t="s">
        <v>340</v>
      </c>
      <c r="D39" s="49" t="s">
        <v>1835</v>
      </c>
      <c r="E39" s="50"/>
      <c r="F39" s="68"/>
      <c r="G39" s="42" t="s">
        <v>343</v>
      </c>
    </row>
    <row r="40" spans="1:7" ht="13.5" thickTop="1">
      <c r="A40" s="82" t="s">
        <v>346</v>
      </c>
      <c r="D40" s="51"/>
      <c r="E40" s="51"/>
      <c r="F40" s="69"/>
    </row>
    <row r="41" spans="1:7">
      <c r="A41" s="229" t="s">
        <v>897</v>
      </c>
      <c r="B41" s="4" t="str">
        <f>VLOOKUP(A41,'IN-10-14'!$A$5:$D$441,2)</f>
        <v>bacha simple acero inox. 52 x 32x18</v>
      </c>
      <c r="C41" s="4" t="str">
        <f>VLOOKUP(A41,'IN-10-14'!$A$5:$D$441,3)</f>
        <v>u</v>
      </c>
      <c r="D41" s="51">
        <v>1</v>
      </c>
      <c r="E41" s="51">
        <f>VLOOKUP(A41,'IN-10-14'!A42:D916,4)</f>
        <v>456.4</v>
      </c>
      <c r="F41" s="69">
        <f>(D41*E41)</f>
        <v>456.4</v>
      </c>
    </row>
    <row r="42" spans="1:7">
      <c r="A42" s="3" t="s">
        <v>1610</v>
      </c>
      <c r="B42" s="4" t="str">
        <f>VLOOKUP(A42,'IN-10-14'!$A$5:$D$441,2)</f>
        <v>mesada granito reconst. 4 cm. de espesor</v>
      </c>
      <c r="C42" s="4" t="str">
        <f>VLOOKUP(A42,'IN-10-14'!$A$5:$D$441,3)</f>
        <v>m2</v>
      </c>
      <c r="D42" s="51">
        <v>1.2</v>
      </c>
      <c r="E42" s="51">
        <f>VLOOKUP(A42,'IN-10-14'!A43:D917,4)</f>
        <v>783.75</v>
      </c>
      <c r="F42" s="69">
        <f>(D42*E42)</f>
        <v>940.5</v>
      </c>
    </row>
    <row r="43" spans="1:7">
      <c r="A43" s="82" t="s">
        <v>347</v>
      </c>
      <c r="D43" s="51"/>
      <c r="E43" s="51"/>
      <c r="F43" s="69"/>
    </row>
    <row r="44" spans="1:7">
      <c r="A44" s="3" t="s">
        <v>1575</v>
      </c>
      <c r="B44" s="4" t="str">
        <f>VLOOKUP(A44,Insumos,2)</f>
        <v>cuadrilla tipo UOCRA</v>
      </c>
      <c r="C44" s="6" t="str">
        <f>VLOOKUP(A44,Insumos,3)</f>
        <v>h</v>
      </c>
      <c r="D44" s="51">
        <f>2.7+2</f>
        <v>4.7</v>
      </c>
      <c r="E44" s="51">
        <f>VLOOKUP(A44,'IN-10-14'!A45:D919,4)</f>
        <v>64.12</v>
      </c>
      <c r="F44" s="69">
        <f>(D44*E44)</f>
        <v>301.36400000000003</v>
      </c>
    </row>
    <row r="45" spans="1:7">
      <c r="A45" s="84" t="s">
        <v>348</v>
      </c>
      <c r="B45" s="4"/>
      <c r="C45" s="6"/>
      <c r="D45" s="51"/>
      <c r="E45" s="51"/>
      <c r="F45" s="69"/>
    </row>
    <row r="46" spans="1:7">
      <c r="A46" s="3" t="s">
        <v>1581</v>
      </c>
      <c r="B46" s="4" t="str">
        <f>VLOOKUP(A46,Insumos,2)</f>
        <v>canasta 2 (mixer 5m3)</v>
      </c>
      <c r="C46" s="6" t="str">
        <f>VLOOKUP(A46,Insumos,3)</f>
        <v>h</v>
      </c>
      <c r="D46" s="51">
        <v>0.04</v>
      </c>
      <c r="E46" s="51">
        <f>VLOOKUP(A46,'IN-10-14'!A47:D921,4)</f>
        <v>827.71566885125844</v>
      </c>
      <c r="F46" s="69">
        <f>(D46*E46)</f>
        <v>33.108626754050341</v>
      </c>
    </row>
    <row r="47" spans="1:7" ht="13.5" thickBot="1"/>
    <row r="48" spans="1:7" ht="13.5" thickTop="1">
      <c r="A48" s="75" t="s">
        <v>342</v>
      </c>
      <c r="B48" s="218" t="s">
        <v>26</v>
      </c>
      <c r="C48" s="77" t="str">
        <f>Fecha</f>
        <v>Oct-14</v>
      </c>
      <c r="D48" s="48"/>
      <c r="E48" s="48"/>
      <c r="F48" s="219">
        <f>SUM(F51:F55)</f>
        <v>144.45669421487605</v>
      </c>
      <c r="G48" s="41"/>
    </row>
    <row r="49" spans="1:7" ht="13.5" thickBot="1">
      <c r="A49" s="7" t="s">
        <v>341</v>
      </c>
      <c r="B49" s="7" t="s">
        <v>1722</v>
      </c>
      <c r="C49" s="78" t="s">
        <v>340</v>
      </c>
      <c r="D49" s="49" t="s">
        <v>27</v>
      </c>
      <c r="E49" s="50"/>
      <c r="F49" s="68"/>
      <c r="G49" s="42" t="s">
        <v>343</v>
      </c>
    </row>
    <row r="50" spans="1:7" ht="13.5" thickTop="1">
      <c r="A50" s="82" t="s">
        <v>346</v>
      </c>
      <c r="D50" s="51"/>
      <c r="E50" s="51"/>
      <c r="F50" s="69"/>
    </row>
    <row r="51" spans="1:7">
      <c r="A51" s="3" t="s">
        <v>186</v>
      </c>
      <c r="B51" s="4" t="str">
        <f>VLOOKUP(A51,Insumos,2)</f>
        <v>mantillo</v>
      </c>
      <c r="C51" s="6" t="str">
        <f>VLOOKUP(A51,Insumos,3)</f>
        <v>bolsa</v>
      </c>
      <c r="D51" s="51">
        <v>0.5</v>
      </c>
      <c r="E51" s="51">
        <f>VLOOKUP(A51,'IN-10-14'!A52:D926,4)</f>
        <v>26.446280991735538</v>
      </c>
      <c r="F51" s="69">
        <f>(D51*E51)</f>
        <v>13.223140495867769</v>
      </c>
    </row>
    <row r="52" spans="1:7">
      <c r="A52" s="3" t="s">
        <v>185</v>
      </c>
      <c r="B52" s="4" t="str">
        <f>VLOOKUP(A52,Insumos,2)</f>
        <v>árboles para forestación - fresno</v>
      </c>
      <c r="C52" s="6" t="str">
        <f>VLOOKUP(A52,Insumos,3)</f>
        <v>u</v>
      </c>
      <c r="D52" s="51">
        <v>1</v>
      </c>
      <c r="E52" s="51">
        <f>VLOOKUP(A52,'IN-10-14'!A53:D927,4)</f>
        <v>99.173553719008268</v>
      </c>
      <c r="F52" s="69">
        <f>(D52*E52)</f>
        <v>99.173553719008268</v>
      </c>
    </row>
    <row r="53" spans="1:7">
      <c r="A53" s="82" t="s">
        <v>347</v>
      </c>
      <c r="D53" s="51"/>
      <c r="E53" s="51"/>
      <c r="F53" s="69"/>
    </row>
    <row r="54" spans="1:7">
      <c r="A54" s="3" t="s">
        <v>1575</v>
      </c>
      <c r="B54" s="4" t="str">
        <f>VLOOKUP(A54,Insumos,2)</f>
        <v>cuadrilla tipo UOCRA</v>
      </c>
      <c r="C54" s="6" t="str">
        <f>VLOOKUP(A54,Insumos,3)</f>
        <v>h</v>
      </c>
      <c r="D54" s="51">
        <v>0.5</v>
      </c>
      <c r="E54" s="51">
        <f>VLOOKUP(A54,'IN-10-14'!A55:D929,4)</f>
        <v>64.12</v>
      </c>
      <c r="F54" s="69">
        <f>(D54*E54)</f>
        <v>32.06</v>
      </c>
    </row>
    <row r="55" spans="1:7">
      <c r="A55" s="84" t="s">
        <v>348</v>
      </c>
      <c r="B55" s="4"/>
      <c r="C55" s="6"/>
      <c r="D55" s="51"/>
      <c r="E55" s="51"/>
      <c r="F55" s="69"/>
    </row>
    <row r="56" spans="1:7" ht="13.5" thickBot="1">
      <c r="A56" s="3"/>
      <c r="B56" s="4"/>
      <c r="C56" s="6"/>
      <c r="D56" s="51"/>
      <c r="E56" s="51"/>
      <c r="F56" s="69"/>
    </row>
    <row r="57" spans="1:7" ht="13.5" thickTop="1">
      <c r="A57" s="75" t="s">
        <v>342</v>
      </c>
      <c r="B57" s="218" t="s">
        <v>28</v>
      </c>
      <c r="C57" s="77" t="str">
        <f>Fecha</f>
        <v>Oct-14</v>
      </c>
      <c r="D57" s="48"/>
      <c r="E57" s="48"/>
      <c r="F57" s="219">
        <f>SUM(F60:F64)</f>
        <v>1827.7460055096421</v>
      </c>
      <c r="G57" s="41"/>
    </row>
    <row r="58" spans="1:7" ht="13.5" thickBot="1">
      <c r="A58" s="7" t="s">
        <v>341</v>
      </c>
      <c r="B58" s="7" t="s">
        <v>1722</v>
      </c>
      <c r="C58" s="78" t="s">
        <v>340</v>
      </c>
      <c r="D58" s="49" t="s">
        <v>29</v>
      </c>
      <c r="E58" s="50"/>
      <c r="F58" s="68"/>
      <c r="G58" s="42" t="s">
        <v>343</v>
      </c>
    </row>
    <row r="59" spans="1:7" ht="13.5" thickTop="1">
      <c r="A59" s="82" t="s">
        <v>346</v>
      </c>
      <c r="D59" s="51"/>
      <c r="E59" s="51"/>
      <c r="F59" s="69"/>
    </row>
    <row r="60" spans="1:7">
      <c r="A60" s="3" t="s">
        <v>51</v>
      </c>
      <c r="B60" s="4" t="str">
        <f>VLOOKUP(A60,Insumos,2)</f>
        <v>caño estructural redondo 3" x 1,6 x 6mt.</v>
      </c>
      <c r="C60" s="6" t="str">
        <f>VLOOKUP(A60,Insumos,3)</f>
        <v>m</v>
      </c>
      <c r="D60" s="51">
        <v>34</v>
      </c>
      <c r="E60" s="51">
        <f>VLOOKUP(A60,'IN-10-14'!A61:D935,4)</f>
        <v>44.327823691460061</v>
      </c>
      <c r="F60" s="69">
        <f>(D60*E60)</f>
        <v>1507.146005509642</v>
      </c>
    </row>
    <row r="61" spans="1:7">
      <c r="A61" s="3"/>
      <c r="B61" s="4"/>
      <c r="C61" s="6"/>
      <c r="D61" s="51"/>
      <c r="E61" s="51"/>
      <c r="F61" s="69"/>
    </row>
    <row r="62" spans="1:7">
      <c r="A62" s="82" t="s">
        <v>347</v>
      </c>
      <c r="D62" s="51"/>
      <c r="E62" s="51"/>
      <c r="F62" s="69"/>
    </row>
    <row r="63" spans="1:7">
      <c r="A63" s="3" t="s">
        <v>1575</v>
      </c>
      <c r="B63" s="4" t="str">
        <f>VLOOKUP(A63,Insumos,2)</f>
        <v>cuadrilla tipo UOCRA</v>
      </c>
      <c r="C63" s="6" t="str">
        <f>VLOOKUP(A63,Insumos,3)</f>
        <v>h</v>
      </c>
      <c r="D63" s="51">
        <v>5</v>
      </c>
      <c r="E63" s="51">
        <f>VLOOKUP(A63,'IN-10-14'!A64:D938,4)</f>
        <v>64.12</v>
      </c>
      <c r="F63" s="69">
        <f>(D63*E63)</f>
        <v>320.60000000000002</v>
      </c>
    </row>
    <row r="64" spans="1:7">
      <c r="A64" s="84" t="s">
        <v>348</v>
      </c>
      <c r="B64" s="4"/>
      <c r="C64" s="6"/>
      <c r="D64" s="51"/>
      <c r="E64" s="51"/>
      <c r="F64" s="69"/>
    </row>
    <row r="65" spans="1:7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342</v>
      </c>
      <c r="B66" s="218" t="s">
        <v>188</v>
      </c>
      <c r="C66" s="77" t="str">
        <f>Fecha</f>
        <v>Oct-14</v>
      </c>
      <c r="D66" s="48"/>
      <c r="E66" s="48"/>
      <c r="F66" s="219">
        <f>SUM(F69:F71)</f>
        <v>9.6745267748239616</v>
      </c>
      <c r="G66" s="41"/>
    </row>
    <row r="67" spans="1:7" ht="13.5" thickBot="1">
      <c r="A67" s="7" t="s">
        <v>341</v>
      </c>
      <c r="B67" s="7" t="s">
        <v>1722</v>
      </c>
      <c r="C67" s="78" t="s">
        <v>340</v>
      </c>
      <c r="D67" s="49" t="s">
        <v>1855</v>
      </c>
      <c r="E67" s="50"/>
      <c r="F67" s="68"/>
      <c r="G67" s="42" t="s">
        <v>1876</v>
      </c>
    </row>
    <row r="68" spans="1:7" ht="13.5" thickTop="1">
      <c r="A68" s="82" t="s">
        <v>347</v>
      </c>
      <c r="D68" s="51"/>
      <c r="E68" s="51"/>
      <c r="F68" s="69"/>
    </row>
    <row r="69" spans="1:7">
      <c r="A69" s="3" t="s">
        <v>1575</v>
      </c>
      <c r="B69" s="4" t="str">
        <f>VLOOKUP(A69,Insumos,2)</f>
        <v>cuadrilla tipo UOCRA</v>
      </c>
      <c r="C69" s="6" t="str">
        <f>VLOOKUP(A69,Insumos,3)</f>
        <v>h</v>
      </c>
      <c r="D69" s="51">
        <v>6.4000000000000001E-2</v>
      </c>
      <c r="E69" s="51">
        <f>VLOOKUP(A69,Insumos,4)</f>
        <v>64.12</v>
      </c>
      <c r="F69" s="69">
        <f>(D69*E69)</f>
        <v>4.1036800000000007</v>
      </c>
    </row>
    <row r="70" spans="1:7">
      <c r="A70" s="82" t="s">
        <v>348</v>
      </c>
      <c r="D70" s="51"/>
      <c r="E70" s="51"/>
      <c r="F70" s="69"/>
    </row>
    <row r="71" spans="1:7">
      <c r="A71" s="3" t="s">
        <v>1576</v>
      </c>
      <c r="B71" s="4" t="str">
        <f>VLOOKUP(A71,Insumos,2)</f>
        <v>canasta 1 (camión volcador)</v>
      </c>
      <c r="C71" s="6" t="str">
        <f>VLOOKUP(A71,Insumos,3)</f>
        <v>h</v>
      </c>
      <c r="D71" s="51">
        <v>0.01</v>
      </c>
      <c r="E71" s="51">
        <f>VLOOKUP(A71,Insumos,4)</f>
        <v>557.08467748239605</v>
      </c>
      <c r="F71" s="69">
        <f>(D71*E71)</f>
        <v>5.570846774823961</v>
      </c>
    </row>
    <row r="72" spans="1:7" ht="13.5" thickBot="1"/>
    <row r="73" spans="1:7" ht="13.5" thickTop="1">
      <c r="A73" s="75" t="s">
        <v>342</v>
      </c>
      <c r="B73" s="218" t="s">
        <v>323</v>
      </c>
      <c r="C73" s="77" t="str">
        <f>Fecha</f>
        <v>Oct-14</v>
      </c>
      <c r="D73" s="48"/>
      <c r="E73" s="48"/>
      <c r="F73" s="219">
        <f>SUM(F76:F79)</f>
        <v>6241.3280000000004</v>
      </c>
      <c r="G73" s="41"/>
    </row>
    <row r="74" spans="1:7" ht="13.5" thickBot="1">
      <c r="A74" s="7" t="s">
        <v>341</v>
      </c>
      <c r="B74" s="7" t="s">
        <v>1722</v>
      </c>
      <c r="C74" s="78" t="s">
        <v>340</v>
      </c>
      <c r="D74" s="49" t="s">
        <v>329</v>
      </c>
      <c r="E74" s="50"/>
      <c r="F74" s="68"/>
      <c r="G74" s="42" t="s">
        <v>174</v>
      </c>
    </row>
    <row r="75" spans="1:7" ht="13.5" thickTop="1">
      <c r="A75" s="82" t="s">
        <v>346</v>
      </c>
      <c r="D75" s="51"/>
      <c r="E75" s="51"/>
      <c r="F75" s="69"/>
    </row>
    <row r="76" spans="1:7">
      <c r="A76" s="3" t="s">
        <v>330</v>
      </c>
      <c r="B76" s="4" t="str">
        <f>VLOOKUP(A76,Insumos,2)</f>
        <v>derechos de aprobación C.Profes.</v>
      </c>
      <c r="C76" s="6" t="str">
        <f>VLOOKUP(A76,Insumos,3)</f>
        <v>u</v>
      </c>
      <c r="D76" s="51">
        <v>1.9056</v>
      </c>
      <c r="E76" s="51">
        <f>VLOOKUP(A76,Insumos,4)</f>
        <v>130</v>
      </c>
      <c r="F76" s="69">
        <f>(D76*E76)</f>
        <v>247.72800000000001</v>
      </c>
    </row>
    <row r="77" spans="1:7">
      <c r="A77" s="3" t="s">
        <v>331</v>
      </c>
      <c r="B77" s="4" t="str">
        <f>VLOOKUP(A77,Insumos,2)</f>
        <v xml:space="preserve">copia xerox de planos </v>
      </c>
      <c r="C77" s="6" t="str">
        <f>VLOOKUP(A77,Insumos,3)</f>
        <v>m2</v>
      </c>
      <c r="D77" s="51">
        <v>36</v>
      </c>
      <c r="E77" s="51">
        <f>VLOOKUP(A77,Insumos,4)</f>
        <v>24</v>
      </c>
      <c r="F77" s="69">
        <f>(D77*E77)</f>
        <v>864</v>
      </c>
    </row>
    <row r="78" spans="1:7">
      <c r="A78" s="82" t="s">
        <v>347</v>
      </c>
      <c r="D78" s="51"/>
      <c r="E78" s="51"/>
      <c r="F78" s="69"/>
    </row>
    <row r="79" spans="1:7">
      <c r="A79" s="3" t="s">
        <v>1575</v>
      </c>
      <c r="B79" s="4" t="str">
        <f>VLOOKUP(A79,Insumos,2)</f>
        <v>cuadrilla tipo UOCRA</v>
      </c>
      <c r="C79" s="6" t="str">
        <f>VLOOKUP(A79,Insumos,3)</f>
        <v>h</v>
      </c>
      <c r="D79" s="51">
        <v>80</v>
      </c>
      <c r="E79" s="51">
        <f>VLOOKUP(A79,Insumos,4)</f>
        <v>64.12</v>
      </c>
      <c r="F79" s="69">
        <f>(D79*E79)</f>
        <v>5129.6000000000004</v>
      </c>
    </row>
    <row r="80" spans="1:7" ht="13.5" thickBot="1">
      <c r="A80" s="3"/>
      <c r="B80" s="4"/>
      <c r="C80" s="6"/>
      <c r="D80" s="51"/>
      <c r="E80" s="51"/>
      <c r="F80" s="69"/>
    </row>
    <row r="81" spans="1:7" ht="13.5" thickTop="1">
      <c r="A81" s="75" t="s">
        <v>342</v>
      </c>
      <c r="B81" s="218" t="s">
        <v>327</v>
      </c>
      <c r="C81" s="77" t="str">
        <f>Fecha</f>
        <v>Oct-14</v>
      </c>
      <c r="D81" s="48"/>
      <c r="E81" s="48"/>
      <c r="F81" s="219">
        <f>SUM(F84:F90)</f>
        <v>1103.1236200804228</v>
      </c>
      <c r="G81" s="41"/>
    </row>
    <row r="82" spans="1:7" ht="13.5" thickBot="1">
      <c r="A82" s="7" t="s">
        <v>341</v>
      </c>
      <c r="B82" s="7" t="s">
        <v>1722</v>
      </c>
      <c r="C82" s="78" t="s">
        <v>340</v>
      </c>
      <c r="D82" s="49" t="s">
        <v>370</v>
      </c>
      <c r="E82" s="50"/>
      <c r="F82" s="68"/>
      <c r="G82" s="42" t="s">
        <v>1922</v>
      </c>
    </row>
    <row r="83" spans="1:7" ht="13.5" thickTop="1">
      <c r="A83" s="82" t="s">
        <v>346</v>
      </c>
      <c r="D83" s="51"/>
      <c r="E83" s="51"/>
      <c r="F83" s="69"/>
    </row>
    <row r="84" spans="1:7">
      <c r="A84" s="3" t="s">
        <v>1578</v>
      </c>
      <c r="B84" s="4" t="str">
        <f>VLOOKUP(A84,Insumos,2)</f>
        <v>cemento Portland</v>
      </c>
      <c r="C84" s="6" t="str">
        <f>VLOOKUP(A84,Insumos,3)</f>
        <v>kg</v>
      </c>
      <c r="D84" s="51">
        <v>350</v>
      </c>
      <c r="E84" s="51">
        <f>VLOOKUP(A84,Insumos,4)</f>
        <v>1.7372000000000001</v>
      </c>
      <c r="F84" s="69">
        <f>(D84*E84)</f>
        <v>608.02</v>
      </c>
    </row>
    <row r="85" spans="1:7">
      <c r="A85" s="3" t="s">
        <v>1580</v>
      </c>
      <c r="B85" s="4" t="str">
        <f>VLOOKUP(A85,Insumos,2)</f>
        <v>arena gruesa</v>
      </c>
      <c r="C85" s="6" t="str">
        <f>VLOOKUP(A85,Insumos,3)</f>
        <v>m3</v>
      </c>
      <c r="D85" s="51">
        <v>0.65</v>
      </c>
      <c r="E85" s="51">
        <f>VLOOKUP(A85,Insumos,4)</f>
        <v>184.46464646464645</v>
      </c>
      <c r="F85" s="69">
        <f>(D85*E85)</f>
        <v>119.9020202020202</v>
      </c>
    </row>
    <row r="86" spans="1:7">
      <c r="A86" s="3" t="s">
        <v>1579</v>
      </c>
      <c r="B86" s="4" t="str">
        <f>VLOOKUP(A86,Insumos,2)</f>
        <v>ripio zarandeado 1/3</v>
      </c>
      <c r="C86" s="6" t="str">
        <f>VLOOKUP(A86,Insumos,3)</f>
        <v>m3</v>
      </c>
      <c r="D86" s="51">
        <v>0.65</v>
      </c>
      <c r="E86" s="51">
        <f>VLOOKUP(A86,Insumos,4)</f>
        <v>157.18044077134985</v>
      </c>
      <c r="F86" s="69">
        <f>(D86*E86)</f>
        <v>102.1672865013774</v>
      </c>
    </row>
    <row r="87" spans="1:7">
      <c r="A87" s="82" t="s">
        <v>347</v>
      </c>
      <c r="D87" s="51"/>
      <c r="E87" s="51"/>
      <c r="F87" s="69"/>
    </row>
    <row r="88" spans="1:7">
      <c r="A88" s="3" t="s">
        <v>1575</v>
      </c>
      <c r="B88" s="4" t="str">
        <f>VLOOKUP(A88,Insumos,2)</f>
        <v>cuadrilla tipo UOCRA</v>
      </c>
      <c r="C88" s="6" t="str">
        <f>VLOOKUP(A88,Insumos,3)</f>
        <v>h</v>
      </c>
      <c r="D88" s="51">
        <v>4</v>
      </c>
      <c r="E88" s="51">
        <f>VLOOKUP(A88,Insumos,4)</f>
        <v>64.12</v>
      </c>
      <c r="F88" s="69">
        <f>(D88*E88)</f>
        <v>256.48</v>
      </c>
    </row>
    <row r="89" spans="1:7">
      <c r="A89" s="84" t="s">
        <v>348</v>
      </c>
      <c r="B89" s="4"/>
      <c r="C89" s="6"/>
      <c r="D89" s="51"/>
      <c r="E89" s="51"/>
      <c r="F89" s="69"/>
    </row>
    <row r="90" spans="1:7">
      <c r="A90" s="3" t="s">
        <v>1581</v>
      </c>
      <c r="B90" s="4" t="str">
        <f>VLOOKUP(A90,Insumos,2)</f>
        <v>canasta 2 (mixer 5m3)</v>
      </c>
      <c r="C90" s="6" t="str">
        <f>VLOOKUP(A90,Insumos,3)</f>
        <v>h</v>
      </c>
      <c r="D90" s="51">
        <v>0.02</v>
      </c>
      <c r="E90" s="51">
        <f>VLOOKUP(A90,Insumos,4)</f>
        <v>827.71566885125844</v>
      </c>
      <c r="F90" s="69">
        <f>(D90*E90)</f>
        <v>16.554313377025171</v>
      </c>
    </row>
    <row r="91" spans="1:7" ht="13.5" thickBot="1"/>
    <row r="92" spans="1:7" ht="13.5" thickTop="1">
      <c r="A92" s="75" t="s">
        <v>342</v>
      </c>
      <c r="B92" s="218" t="s">
        <v>358</v>
      </c>
      <c r="C92" s="77" t="str">
        <f>Fecha</f>
        <v>Oct-14</v>
      </c>
      <c r="D92" s="48"/>
      <c r="E92" s="48"/>
      <c r="F92" s="219">
        <f>SUM(F95:F99)</f>
        <v>3508.258578344256</v>
      </c>
      <c r="G92" s="41"/>
    </row>
    <row r="93" spans="1:7" ht="13.5" thickBot="1">
      <c r="A93" s="7" t="s">
        <v>341</v>
      </c>
      <c r="B93" s="7" t="s">
        <v>1722</v>
      </c>
      <c r="C93" s="78" t="s">
        <v>340</v>
      </c>
      <c r="D93" s="49" t="s">
        <v>359</v>
      </c>
      <c r="E93" s="50"/>
      <c r="F93" s="68"/>
      <c r="G93" s="42" t="s">
        <v>343</v>
      </c>
    </row>
    <row r="94" spans="1:7" ht="13.5" thickTop="1">
      <c r="A94" s="82" t="s">
        <v>346</v>
      </c>
      <c r="D94" s="51"/>
      <c r="E94" s="51"/>
      <c r="F94" s="69"/>
    </row>
    <row r="95" spans="1:7">
      <c r="A95" s="3" t="s">
        <v>360</v>
      </c>
      <c r="B95" s="4" t="str">
        <f>VLOOKUP(A95,Insumos,2)</f>
        <v>matafuegos 5 kg tipo ABC</v>
      </c>
      <c r="C95" s="6" t="str">
        <f>VLOOKUP(A95,Insumos,3)</f>
        <v>u</v>
      </c>
      <c r="D95" s="51">
        <v>4</v>
      </c>
      <c r="E95" s="51">
        <f>VLOOKUP(A95,Insumos,4)</f>
        <v>860</v>
      </c>
      <c r="F95" s="69">
        <f>(D95*E95)</f>
        <v>3440</v>
      </c>
    </row>
    <row r="96" spans="1:7">
      <c r="A96" s="82" t="s">
        <v>347</v>
      </c>
      <c r="D96" s="51"/>
      <c r="E96" s="51"/>
      <c r="F96" s="69"/>
    </row>
    <row r="97" spans="1:7">
      <c r="A97" s="3" t="s">
        <v>1575</v>
      </c>
      <c r="B97" s="4" t="str">
        <f>VLOOKUP(A97,Insumos,2)</f>
        <v>cuadrilla tipo UOCRA</v>
      </c>
      <c r="C97" s="6" t="str">
        <f>VLOOKUP(A97,Insumos,3)</f>
        <v>h</v>
      </c>
      <c r="D97" s="51">
        <v>1</v>
      </c>
      <c r="E97" s="51">
        <f>VLOOKUP(A97,Insumos,4)</f>
        <v>64.12</v>
      </c>
      <c r="F97" s="69">
        <f>(D97*E97)</f>
        <v>64.12</v>
      </c>
    </row>
    <row r="98" spans="1:7">
      <c r="A98" s="84" t="s">
        <v>348</v>
      </c>
      <c r="B98" s="4"/>
      <c r="C98" s="6"/>
      <c r="D98" s="51"/>
      <c r="E98" s="51"/>
      <c r="F98" s="69"/>
    </row>
    <row r="99" spans="1:7">
      <c r="A99" s="3" t="s">
        <v>1581</v>
      </c>
      <c r="B99" s="4" t="str">
        <f>VLOOKUP(A99,Insumos,2)</f>
        <v>canasta 2 (mixer 5m3)</v>
      </c>
      <c r="C99" s="6" t="str">
        <f>VLOOKUP(A99,Insumos,3)</f>
        <v>h</v>
      </c>
      <c r="D99" s="51">
        <v>5.0000000000000001E-3</v>
      </c>
      <c r="E99" s="51">
        <f>VLOOKUP(A99,Insumos,4)</f>
        <v>827.71566885125844</v>
      </c>
      <c r="F99" s="69">
        <f>(D99*E99)</f>
        <v>4.1385783442562927</v>
      </c>
    </row>
    <row r="100" spans="1:7" ht="13.5" thickBot="1"/>
    <row r="101" spans="1:7" ht="13.5" thickTop="1">
      <c r="A101" s="75" t="s">
        <v>342</v>
      </c>
      <c r="B101" s="218" t="s">
        <v>380</v>
      </c>
      <c r="C101" s="77" t="str">
        <f>Fecha</f>
        <v>Oct-14</v>
      </c>
      <c r="D101" s="48"/>
      <c r="E101" s="48"/>
      <c r="F101" s="219">
        <f>SUM(F104:F109)</f>
        <v>2974.4362631176873</v>
      </c>
      <c r="G101" s="41"/>
    </row>
    <row r="102" spans="1:7" ht="13.5" thickBot="1">
      <c r="A102" s="7" t="s">
        <v>341</v>
      </c>
      <c r="B102" s="7" t="s">
        <v>1722</v>
      </c>
      <c r="C102" s="78" t="s">
        <v>340</v>
      </c>
      <c r="D102" s="49" t="s">
        <v>382</v>
      </c>
      <c r="E102" s="50"/>
      <c r="F102" s="68"/>
      <c r="G102" s="42" t="s">
        <v>343</v>
      </c>
    </row>
    <row r="103" spans="1:7" ht="13.5" thickTop="1">
      <c r="A103" s="82" t="s">
        <v>346</v>
      </c>
      <c r="D103" s="51"/>
      <c r="E103" s="51"/>
      <c r="F103" s="69"/>
    </row>
    <row r="104" spans="1:7">
      <c r="A104" s="229" t="s">
        <v>897</v>
      </c>
      <c r="B104" s="4" t="str">
        <f>VLOOKUP(A104,'IN-10-14'!$A$5:$D$441,2)</f>
        <v>bacha simple acero inox. 52 x 32x18</v>
      </c>
      <c r="C104" s="4" t="str">
        <f>VLOOKUP(A104,'IN-10-14'!$A$5:$D$441,3)</f>
        <v>u</v>
      </c>
      <c r="D104" s="51">
        <v>1</v>
      </c>
      <c r="E104" s="51">
        <f>VLOOKUP(A104,Insumos,4)</f>
        <v>456.4</v>
      </c>
      <c r="F104" s="69">
        <f>(D104*E104)</f>
        <v>456.4</v>
      </c>
    </row>
    <row r="105" spans="1:7">
      <c r="A105" s="3" t="s">
        <v>383</v>
      </c>
      <c r="B105" s="4" t="str">
        <f>VLOOKUP(A105,'IN-10-14'!$A$5:$D$441,2)</f>
        <v>mesada granito natural nacional  e=2cm.</v>
      </c>
      <c r="C105" s="4" t="str">
        <f>VLOOKUP(A105,'IN-10-14'!$A$5:$D$441,3)</f>
        <v>m2</v>
      </c>
      <c r="D105" s="51">
        <v>1.2</v>
      </c>
      <c r="E105" s="51">
        <f>VLOOKUP(A105,Insumos,4)</f>
        <v>1819.636363636364</v>
      </c>
      <c r="F105" s="69">
        <f>(D105*E105)</f>
        <v>2183.5636363636368</v>
      </c>
    </row>
    <row r="106" spans="1:7">
      <c r="A106" s="82" t="s">
        <v>347</v>
      </c>
      <c r="D106" s="51"/>
      <c r="E106" s="51"/>
      <c r="F106" s="69"/>
    </row>
    <row r="107" spans="1:7">
      <c r="A107" s="3" t="s">
        <v>1575</v>
      </c>
      <c r="B107" s="4" t="str">
        <f>VLOOKUP(A107,Insumos,2)</f>
        <v>cuadrilla tipo UOCRA</v>
      </c>
      <c r="C107" s="6" t="str">
        <f>VLOOKUP(A107,Insumos,3)</f>
        <v>h</v>
      </c>
      <c r="D107" s="51">
        <f>2.7+2</f>
        <v>4.7</v>
      </c>
      <c r="E107" s="51">
        <f>VLOOKUP(A107,Insumos,4)</f>
        <v>64.12</v>
      </c>
      <c r="F107" s="69">
        <f>(D107*E107)</f>
        <v>301.36400000000003</v>
      </c>
    </row>
    <row r="108" spans="1:7">
      <c r="A108" s="84" t="s">
        <v>348</v>
      </c>
      <c r="B108" s="4"/>
      <c r="C108" s="6"/>
      <c r="D108" s="51"/>
      <c r="E108" s="51"/>
      <c r="F108" s="69"/>
    </row>
    <row r="109" spans="1:7">
      <c r="A109" s="3" t="s">
        <v>1581</v>
      </c>
      <c r="B109" s="4" t="str">
        <f>VLOOKUP(A109,Insumos,2)</f>
        <v>canasta 2 (mixer 5m3)</v>
      </c>
      <c r="C109" s="6" t="str">
        <f>VLOOKUP(A109,Insumos,3)</f>
        <v>h</v>
      </c>
      <c r="D109" s="51">
        <v>0.04</v>
      </c>
      <c r="E109" s="51">
        <f>VLOOKUP(A109,Insumos,4)</f>
        <v>827.71566885125844</v>
      </c>
      <c r="F109" s="69">
        <f>(D109*E109)</f>
        <v>33.108626754050341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B114" sqref="B114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20">
    <tabColor indexed="26"/>
  </sheetPr>
  <dimension ref="A1:H44"/>
  <sheetViews>
    <sheetView showGridLines="0" zoomScale="90" zoomScaleNormal="75" zoomScaleSheetLayoutView="75" workbookViewId="0">
      <selection activeCell="F20" sqref="F20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1" style="66" bestFit="1" customWidth="1"/>
    <col min="7" max="7" width="3.5546875" style="5" customWidth="1"/>
    <col min="8" max="16384" width="9.77734375" style="1"/>
  </cols>
  <sheetData>
    <row r="1" spans="1:7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1731</v>
      </c>
      <c r="C2" s="77" t="str">
        <f>Fecha</f>
        <v>Oct-14</v>
      </c>
      <c r="D2" s="48"/>
      <c r="E2" s="48"/>
      <c r="F2" s="219">
        <f>SUM(F4:F16)</f>
        <v>261.42201550971032</v>
      </c>
      <c r="G2" s="41"/>
    </row>
    <row r="3" spans="1:7" ht="13.5" thickBot="1">
      <c r="A3" s="7" t="s">
        <v>341</v>
      </c>
      <c r="B3" s="7" t="s">
        <v>1730</v>
      </c>
      <c r="C3" s="78" t="s">
        <v>340</v>
      </c>
      <c r="D3" s="49" t="s">
        <v>189</v>
      </c>
      <c r="E3" s="50"/>
      <c r="F3" s="68"/>
      <c r="G3" s="42" t="s">
        <v>1749</v>
      </c>
    </row>
    <row r="4" spans="1:7" ht="13.5" thickTop="1">
      <c r="A4" s="83" t="s">
        <v>346</v>
      </c>
      <c r="B4" s="9"/>
      <c r="C4" s="10"/>
      <c r="D4" s="56"/>
      <c r="E4" s="56"/>
      <c r="F4" s="72"/>
      <c r="G4" s="10"/>
    </row>
    <row r="5" spans="1:7">
      <c r="A5" s="11" t="s">
        <v>152</v>
      </c>
      <c r="B5" s="4" t="str">
        <f>VLOOKUP(A5,Insumos,2)</f>
        <v>caño Pead Agua 63mm</v>
      </c>
      <c r="C5" s="6" t="str">
        <f>VLOOKUP(A5,Insumos,3)</f>
        <v>m</v>
      </c>
      <c r="D5" s="56">
        <v>3.9540000000000002</v>
      </c>
      <c r="E5" s="51">
        <f>VLOOKUP(A5,'IN-10-14'!A6:D880,4)</f>
        <v>26.764799999999997</v>
      </c>
      <c r="F5" s="72">
        <f t="shared" ref="F5:F12" si="0">(D5*E5)</f>
        <v>105.8280192</v>
      </c>
      <c r="G5" s="10"/>
    </row>
    <row r="6" spans="1:7">
      <c r="A6" s="11" t="s">
        <v>154</v>
      </c>
      <c r="B6" s="4" t="str">
        <f t="shared" ref="B6:B12" si="1">VLOOKUP(A6,Insumos,2)</f>
        <v>cupla Pead Agua 63mm</v>
      </c>
      <c r="C6" s="6" t="str">
        <f>VLOOKUP(A6,Insumos,3)</f>
        <v>u</v>
      </c>
      <c r="D6" s="56">
        <v>0.14199999999999999</v>
      </c>
      <c r="E6" s="51">
        <f>VLOOKUP(A6,'IN-10-14'!A7:D881,4)</f>
        <v>48.776400000000002</v>
      </c>
      <c r="F6" s="72">
        <f t="shared" si="0"/>
        <v>6.9262487999999998</v>
      </c>
      <c r="G6" s="10"/>
    </row>
    <row r="7" spans="1:7">
      <c r="A7" s="11" t="s">
        <v>159</v>
      </c>
      <c r="B7" s="4" t="str">
        <f t="shared" si="1"/>
        <v>válvula esclusa doble brida H°D° 63mm</v>
      </c>
      <c r="C7" s="6" t="str">
        <f t="shared" ref="C7:C12" si="2">VLOOKUP(A7,Insumos,3)</f>
        <v>u</v>
      </c>
      <c r="D7" s="56">
        <v>0.01</v>
      </c>
      <c r="E7" s="51">
        <f>VLOOKUP(A7,'IN-10-14'!A8:D882,4)</f>
        <v>1812.8</v>
      </c>
      <c r="F7" s="72">
        <f t="shared" si="0"/>
        <v>18.128</v>
      </c>
      <c r="G7" s="10"/>
    </row>
    <row r="8" spans="1:7">
      <c r="A8" s="11" t="s">
        <v>150</v>
      </c>
      <c r="B8" s="4" t="str">
        <f t="shared" si="1"/>
        <v>caño Pead Agua20mm</v>
      </c>
      <c r="C8" s="6" t="str">
        <f t="shared" si="2"/>
        <v>m</v>
      </c>
      <c r="D8" s="56">
        <v>2.2000000000000002</v>
      </c>
      <c r="E8" s="51">
        <f>VLOOKUP(A8,'IN-10-14'!A9:D883,4)</f>
        <v>6.42</v>
      </c>
      <c r="F8" s="72">
        <f t="shared" si="0"/>
        <v>14.124000000000001</v>
      </c>
      <c r="G8" s="10"/>
    </row>
    <row r="9" spans="1:7">
      <c r="A9" s="11" t="s">
        <v>194</v>
      </c>
      <c r="B9" s="4" t="str">
        <f t="shared" si="1"/>
        <v>abrazadera diámetro 63mm con racord de 1/2"</v>
      </c>
      <c r="C9" s="6" t="str">
        <f t="shared" si="2"/>
        <v>u</v>
      </c>
      <c r="D9" s="56">
        <v>7.0000000000000001E-3</v>
      </c>
      <c r="E9" s="51">
        <f>VLOOKUP(A9,'IN-10-14'!A10:D884,4)</f>
        <v>165.28925619834712</v>
      </c>
      <c r="F9" s="72">
        <f t="shared" si="0"/>
        <v>1.1570247933884299</v>
      </c>
      <c r="G9" s="10"/>
    </row>
    <row r="10" spans="1:7">
      <c r="A10" s="11" t="s">
        <v>1578</v>
      </c>
      <c r="B10" s="4" t="str">
        <f t="shared" si="1"/>
        <v>cemento Portland</v>
      </c>
      <c r="C10" s="6" t="str">
        <f t="shared" si="2"/>
        <v>kg</v>
      </c>
      <c r="D10" s="56">
        <v>1.089</v>
      </c>
      <c r="E10" s="51">
        <f>VLOOKUP(A10,'IN-10-14'!A11:D885,4)</f>
        <v>1.7372000000000001</v>
      </c>
      <c r="F10" s="72">
        <f t="shared" si="0"/>
        <v>1.8918108</v>
      </c>
      <c r="G10" s="10"/>
    </row>
    <row r="11" spans="1:7">
      <c r="A11" s="11" t="s">
        <v>1850</v>
      </c>
      <c r="B11" s="4" t="str">
        <f t="shared" si="1"/>
        <v>arena mediana</v>
      </c>
      <c r="C11" s="6" t="str">
        <f t="shared" si="2"/>
        <v>m3</v>
      </c>
      <c r="D11" s="56">
        <v>7.0000000000000001E-3</v>
      </c>
      <c r="E11" s="51">
        <f>VLOOKUP(A11,'IN-10-14'!A12:D886,4)</f>
        <v>184.46464646464645</v>
      </c>
      <c r="F11" s="72">
        <f t="shared" si="0"/>
        <v>1.2912525252525251</v>
      </c>
      <c r="G11" s="10"/>
    </row>
    <row r="12" spans="1:7">
      <c r="A12" s="11" t="s">
        <v>1577</v>
      </c>
      <c r="B12" s="4" t="str">
        <f t="shared" si="1"/>
        <v>hierro mejorado de 10 mm.</v>
      </c>
      <c r="C12" s="6" t="str">
        <f t="shared" si="2"/>
        <v>kg</v>
      </c>
      <c r="D12" s="56">
        <v>5.3999999999999999E-2</v>
      </c>
      <c r="E12" s="51">
        <f>VLOOKUP(A12,'IN-10-14'!A7:D887,4)</f>
        <v>10.584654902836721</v>
      </c>
      <c r="F12" s="72">
        <f t="shared" si="0"/>
        <v>0.57157136475318293</v>
      </c>
      <c r="G12" s="10"/>
    </row>
    <row r="13" spans="1:7">
      <c r="A13" s="83" t="s">
        <v>347</v>
      </c>
      <c r="B13" s="9"/>
      <c r="C13" s="10"/>
      <c r="D13" s="56"/>
      <c r="E13" s="51"/>
      <c r="F13" s="72"/>
      <c r="G13" s="10"/>
    </row>
    <row r="14" spans="1:7">
      <c r="A14" s="11" t="s">
        <v>1607</v>
      </c>
      <c r="B14" s="4" t="str">
        <f>VLOOKUP(A14,Insumos,2)</f>
        <v>cuadrilla tipo U.G.A.T.S.</v>
      </c>
      <c r="C14" s="6" t="str">
        <f>VLOOKUP(A14,Insumos,3)</f>
        <v>h</v>
      </c>
      <c r="D14" s="56">
        <v>0.89300000000000002</v>
      </c>
      <c r="E14" s="51">
        <f>VLOOKUP(A14,'IN-10-14'!A15:D889,4)</f>
        <v>74.430000000000007</v>
      </c>
      <c r="F14" s="72">
        <f>(D14*E14)</f>
        <v>66.465990000000005</v>
      </c>
      <c r="G14" s="10"/>
    </row>
    <row r="15" spans="1:7">
      <c r="A15" s="83" t="s">
        <v>348</v>
      </c>
      <c r="B15" s="4"/>
      <c r="C15" s="10"/>
      <c r="D15" s="56"/>
      <c r="E15" s="51"/>
      <c r="F15" s="72"/>
      <c r="G15" s="10"/>
    </row>
    <row r="16" spans="1:7">
      <c r="A16" s="11" t="s">
        <v>1894</v>
      </c>
      <c r="B16" s="4" t="str">
        <f>VLOOKUP(A16,Insumos,2)</f>
        <v>canasta 3 (retroexcavadora 87 HP)</v>
      </c>
      <c r="C16" s="6" t="str">
        <f>VLOOKUP(A16,Insumos,3)</f>
        <v>h</v>
      </c>
      <c r="D16" s="56">
        <v>9.8000000000000004E-2</v>
      </c>
      <c r="E16" s="51">
        <f>VLOOKUP(A16,'IN-10-14'!A17:D891,4)</f>
        <v>459.57242883996059</v>
      </c>
      <c r="F16" s="72">
        <f>(D16*E16)</f>
        <v>45.038098026316142</v>
      </c>
      <c r="G16" s="10"/>
    </row>
    <row r="17" spans="1:8" ht="13.5" thickBot="1">
      <c r="A17" s="3"/>
      <c r="B17" s="4"/>
      <c r="C17" s="6"/>
      <c r="D17" s="51"/>
      <c r="E17" s="51"/>
      <c r="F17" s="69"/>
    </row>
    <row r="18" spans="1:8" ht="13.5" thickTop="1">
      <c r="A18" s="75" t="s">
        <v>342</v>
      </c>
      <c r="B18" s="218" t="s">
        <v>1732</v>
      </c>
      <c r="C18" s="77" t="str">
        <f>Fecha</f>
        <v>Oct-14</v>
      </c>
      <c r="D18" s="48"/>
      <c r="E18" s="48"/>
      <c r="F18" s="219">
        <f>SUM(F20:F30)</f>
        <v>236.71443071632186</v>
      </c>
      <c r="G18" s="41"/>
    </row>
    <row r="19" spans="1:8" ht="13.5" thickBot="1">
      <c r="A19" s="7" t="s">
        <v>341</v>
      </c>
      <c r="B19" s="7" t="s">
        <v>1730</v>
      </c>
      <c r="C19" s="78" t="s">
        <v>340</v>
      </c>
      <c r="D19" s="49" t="s">
        <v>30</v>
      </c>
      <c r="E19" s="50"/>
      <c r="F19" s="68"/>
      <c r="G19" s="42" t="s">
        <v>1749</v>
      </c>
    </row>
    <row r="20" spans="1:8" ht="13.5" thickTop="1">
      <c r="A20" s="83" t="s">
        <v>346</v>
      </c>
      <c r="B20" s="9"/>
      <c r="C20" s="10"/>
      <c r="D20" s="56"/>
      <c r="E20" s="56"/>
      <c r="F20" s="72"/>
      <c r="G20" s="10"/>
    </row>
    <row r="21" spans="1:8">
      <c r="A21" s="11" t="s">
        <v>152</v>
      </c>
      <c r="B21" s="4" t="str">
        <f t="shared" ref="B21:B26" si="3">VLOOKUP(A21,Insumos,2)</f>
        <v>caño Pead Agua 63mm</v>
      </c>
      <c r="C21" s="6" t="str">
        <f t="shared" ref="C21:C26" si="4">VLOOKUP(A21,Insumos,3)</f>
        <v>m</v>
      </c>
      <c r="D21" s="56">
        <v>3.9540000000000002</v>
      </c>
      <c r="E21" s="51">
        <f>VLOOKUP(A21,'IN-10-14'!A22:D896,4)</f>
        <v>26.764799999999997</v>
      </c>
      <c r="F21" s="72">
        <f t="shared" ref="F21:F26" si="5">(D21*E21)</f>
        <v>105.8280192</v>
      </c>
      <c r="G21" s="10"/>
    </row>
    <row r="22" spans="1:8">
      <c r="A22" s="11" t="s">
        <v>154</v>
      </c>
      <c r="B22" s="4" t="str">
        <f t="shared" si="3"/>
        <v>cupla Pead Agua 63mm</v>
      </c>
      <c r="C22" s="6" t="str">
        <f t="shared" si="4"/>
        <v>u</v>
      </c>
      <c r="D22" s="56">
        <v>0.14199999999999999</v>
      </c>
      <c r="E22" s="51">
        <f>VLOOKUP(A22,'IN-10-14'!A23:D897,4)</f>
        <v>48.776400000000002</v>
      </c>
      <c r="F22" s="72">
        <f t="shared" si="5"/>
        <v>6.9262487999999998</v>
      </c>
      <c r="G22" s="10"/>
    </row>
    <row r="23" spans="1:8">
      <c r="A23" s="11" t="s">
        <v>159</v>
      </c>
      <c r="B23" s="4" t="str">
        <f t="shared" si="3"/>
        <v>válvula esclusa doble brida H°D° 63mm</v>
      </c>
      <c r="C23" s="6" t="str">
        <f t="shared" si="4"/>
        <v>u</v>
      </c>
      <c r="D23" s="56">
        <v>4.7999999999999996E-3</v>
      </c>
      <c r="E23" s="51">
        <f>VLOOKUP(A23,'IN-10-14'!A24:D898,4)</f>
        <v>1812.8</v>
      </c>
      <c r="F23" s="72">
        <f t="shared" si="5"/>
        <v>8.7014399999999998</v>
      </c>
      <c r="G23" s="10"/>
    </row>
    <row r="24" spans="1:8">
      <c r="A24" s="11" t="s">
        <v>1578</v>
      </c>
      <c r="B24" s="4" t="str">
        <f t="shared" si="3"/>
        <v>cemento Portland</v>
      </c>
      <c r="C24" s="6" t="str">
        <f t="shared" si="4"/>
        <v>kg</v>
      </c>
      <c r="D24" s="56">
        <v>1.089</v>
      </c>
      <c r="E24" s="51">
        <f>VLOOKUP(A24,'IN-10-14'!A25:D899,4)</f>
        <v>1.7372000000000001</v>
      </c>
      <c r="F24" s="72">
        <f t="shared" si="5"/>
        <v>1.8918108</v>
      </c>
      <c r="G24" s="10"/>
    </row>
    <row r="25" spans="1:8">
      <c r="A25" s="11" t="s">
        <v>1850</v>
      </c>
      <c r="B25" s="4" t="str">
        <f t="shared" si="3"/>
        <v>arena mediana</v>
      </c>
      <c r="C25" s="6" t="str">
        <f t="shared" si="4"/>
        <v>m3</v>
      </c>
      <c r="D25" s="56">
        <v>7.0000000000000001E-3</v>
      </c>
      <c r="E25" s="51">
        <f>VLOOKUP(A25,'IN-10-14'!A26:D900,4)</f>
        <v>184.46464646464645</v>
      </c>
      <c r="F25" s="72">
        <f t="shared" si="5"/>
        <v>1.2912525252525251</v>
      </c>
      <c r="G25" s="10"/>
    </row>
    <row r="26" spans="1:8">
      <c r="A26" s="11" t="s">
        <v>1577</v>
      </c>
      <c r="B26" s="4" t="str">
        <f t="shared" si="3"/>
        <v>hierro mejorado de 10 mm.</v>
      </c>
      <c r="C26" s="6" t="str">
        <f t="shared" si="4"/>
        <v>kg</v>
      </c>
      <c r="D26" s="56">
        <v>5.3999999999999999E-2</v>
      </c>
      <c r="E26" s="51">
        <f>VLOOKUP(A26,'IN-10-14'!A7:D901,4)</f>
        <v>10.584654902836721</v>
      </c>
      <c r="F26" s="72">
        <f t="shared" si="5"/>
        <v>0.57157136475318293</v>
      </c>
      <c r="G26" s="10"/>
    </row>
    <row r="27" spans="1:8">
      <c r="A27" s="83" t="s">
        <v>347</v>
      </c>
      <c r="B27" s="9"/>
      <c r="C27" s="10"/>
      <c r="D27" s="56"/>
      <c r="E27" s="51"/>
      <c r="F27" s="72"/>
      <c r="G27" s="10"/>
    </row>
    <row r="28" spans="1:8">
      <c r="A28" s="11" t="s">
        <v>1607</v>
      </c>
      <c r="B28" s="4" t="str">
        <f>VLOOKUP(A28,Insumos,2)</f>
        <v>cuadrilla tipo U.G.A.T.S.</v>
      </c>
      <c r="C28" s="6" t="str">
        <f>VLOOKUP(A28,Insumos,3)</f>
        <v>h</v>
      </c>
      <c r="D28" s="56">
        <v>0.89300000000000002</v>
      </c>
      <c r="E28" s="51">
        <f>VLOOKUP(A28,'IN-10-14'!A29:D903,4)</f>
        <v>74.430000000000007</v>
      </c>
      <c r="F28" s="72">
        <f>(D28*E28)</f>
        <v>66.465990000000005</v>
      </c>
      <c r="G28" s="10"/>
      <c r="H28" s="1" t="s">
        <v>1099</v>
      </c>
    </row>
    <row r="29" spans="1:8">
      <c r="A29" s="83" t="s">
        <v>348</v>
      </c>
      <c r="B29" s="4"/>
      <c r="C29" s="10"/>
      <c r="D29" s="56"/>
      <c r="E29" s="51"/>
      <c r="F29" s="72"/>
      <c r="G29" s="10"/>
    </row>
    <row r="30" spans="1:8">
      <c r="A30" s="11" t="s">
        <v>1894</v>
      </c>
      <c r="B30" s="4" t="str">
        <f>VLOOKUP(A30,Insumos,2)</f>
        <v>canasta 3 (retroexcavadora 87 HP)</v>
      </c>
      <c r="C30" s="6" t="str">
        <f>VLOOKUP(A30,Insumos,3)</f>
        <v>h</v>
      </c>
      <c r="D30" s="56">
        <v>9.8000000000000004E-2</v>
      </c>
      <c r="E30" s="51">
        <f>VLOOKUP(A30,'IN-10-14'!A31:D905,4)</f>
        <v>459.57242883996059</v>
      </c>
      <c r="F30" s="72">
        <f>(D30*E30)</f>
        <v>45.038098026316142</v>
      </c>
      <c r="G30" s="10"/>
    </row>
    <row r="31" spans="1:8" ht="13.5" thickBot="1">
      <c r="A31" s="11"/>
      <c r="B31" s="12"/>
      <c r="C31" s="13"/>
      <c r="D31" s="56"/>
      <c r="E31" s="56"/>
      <c r="F31" s="72"/>
      <c r="G31" s="10"/>
    </row>
    <row r="32" spans="1:8" ht="13.5" thickTop="1">
      <c r="A32" s="75" t="s">
        <v>342</v>
      </c>
      <c r="B32" s="218" t="s">
        <v>320</v>
      </c>
      <c r="C32" s="77" t="str">
        <f>Fecha</f>
        <v>Oct-14</v>
      </c>
      <c r="D32" s="48"/>
      <c r="E32" s="48"/>
      <c r="F32" s="219">
        <f>SUM(F34:F44)</f>
        <v>121903.71667237568</v>
      </c>
      <c r="G32" s="41"/>
    </row>
    <row r="33" spans="1:7" ht="13.5" thickBot="1">
      <c r="A33" s="7" t="s">
        <v>341</v>
      </c>
      <c r="B33" s="7" t="s">
        <v>1730</v>
      </c>
      <c r="C33" s="78" t="s">
        <v>340</v>
      </c>
      <c r="D33" s="49" t="s">
        <v>322</v>
      </c>
      <c r="E33" s="50"/>
      <c r="F33" s="68"/>
      <c r="G33" s="42" t="s">
        <v>343</v>
      </c>
    </row>
    <row r="34" spans="1:7" ht="13.5" thickTop="1">
      <c r="A34" s="83" t="s">
        <v>346</v>
      </c>
      <c r="B34" s="9"/>
      <c r="C34" s="10"/>
      <c r="D34" s="56"/>
      <c r="E34" s="56"/>
      <c r="F34" s="72"/>
      <c r="G34" s="10"/>
    </row>
    <row r="35" spans="1:7">
      <c r="A35" s="11" t="s">
        <v>1265</v>
      </c>
      <c r="B35" s="4" t="str">
        <f t="shared" ref="B35:B40" si="6">VLOOKUP(A35,Insumos,2)</f>
        <v>cuerpo motorarg CFD 675/30  30H.P.</v>
      </c>
      <c r="C35" s="6" t="str">
        <f t="shared" ref="C35:C40" si="7">VLOOKUP(A35,Insumos,3)</f>
        <v>u</v>
      </c>
      <c r="D35" s="56">
        <v>1</v>
      </c>
      <c r="E35" s="51">
        <f>VLOOKUP(A35,'IN-10-14'!A36:D910,4)</f>
        <v>19394.52</v>
      </c>
      <c r="F35" s="72">
        <f t="shared" ref="F35:F40" si="8">(D35*E35)</f>
        <v>19394.52</v>
      </c>
      <c r="G35" s="10"/>
    </row>
    <row r="36" spans="1:7">
      <c r="A36" s="11" t="s">
        <v>207</v>
      </c>
      <c r="B36" s="4" t="str">
        <f t="shared" si="6"/>
        <v>motor motorarg S6 R4/30  30 H.P.</v>
      </c>
      <c r="C36" s="6" t="str">
        <f t="shared" si="7"/>
        <v>u</v>
      </c>
      <c r="D36" s="56">
        <v>1</v>
      </c>
      <c r="E36" s="51">
        <f>VLOOKUP(A36,'IN-10-14'!A37:D911,4)</f>
        <v>22443.61</v>
      </c>
      <c r="F36" s="72">
        <f t="shared" si="8"/>
        <v>22443.61</v>
      </c>
      <c r="G36" s="10"/>
    </row>
    <row r="37" spans="1:7">
      <c r="A37" s="11" t="s">
        <v>209</v>
      </c>
      <c r="B37" s="4" t="str">
        <f t="shared" si="6"/>
        <v>arrancador suave WEG SSW-04.60 p/30H.P.</v>
      </c>
      <c r="C37" s="6" t="str">
        <f t="shared" si="7"/>
        <v>u</v>
      </c>
      <c r="D37" s="56">
        <v>1</v>
      </c>
      <c r="E37" s="51">
        <f>VLOOKUP(A37,'IN-10-14'!A38:D912,4)</f>
        <v>8975.3516581524982</v>
      </c>
      <c r="F37" s="72">
        <f t="shared" si="8"/>
        <v>8975.3516581524982</v>
      </c>
      <c r="G37" s="10"/>
    </row>
    <row r="38" spans="1:7">
      <c r="A38" s="11" t="s">
        <v>211</v>
      </c>
      <c r="B38" s="4" t="str">
        <f t="shared" si="6"/>
        <v>bomba dosivac milenio 015 1.45 lts/h</v>
      </c>
      <c r="C38" s="6" t="str">
        <f t="shared" si="7"/>
        <v>u</v>
      </c>
      <c r="D38" s="56">
        <v>1</v>
      </c>
      <c r="E38" s="51">
        <f>VLOOKUP(A38,'IN-10-14'!A39:D913,4)</f>
        <v>2473.8842975206612</v>
      </c>
      <c r="F38" s="72">
        <f t="shared" si="8"/>
        <v>2473.8842975206612</v>
      </c>
      <c r="G38" s="10"/>
    </row>
    <row r="39" spans="1:7">
      <c r="A39" s="11" t="s">
        <v>213</v>
      </c>
      <c r="B39" s="4" t="str">
        <f t="shared" si="6"/>
        <v>cable pirelli sintenax viper 3x35</v>
      </c>
      <c r="C39" s="6" t="str">
        <f t="shared" si="7"/>
        <v>m</v>
      </c>
      <c r="D39" s="56">
        <v>120</v>
      </c>
      <c r="E39" s="51">
        <f>VLOOKUP(A39,'IN-10-14'!A40:D914,4)</f>
        <v>261.10000000000002</v>
      </c>
      <c r="F39" s="72">
        <f t="shared" si="8"/>
        <v>31332.000000000004</v>
      </c>
      <c r="G39" s="10"/>
    </row>
    <row r="40" spans="1:7">
      <c r="A40" s="11" t="s">
        <v>215</v>
      </c>
      <c r="B40" s="4" t="str">
        <f t="shared" si="6"/>
        <v>caño H°G° RyC 4"</v>
      </c>
      <c r="C40" s="6" t="str">
        <f t="shared" si="7"/>
        <v>m</v>
      </c>
      <c r="D40" s="56">
        <f>8*6.4</f>
        <v>51.2</v>
      </c>
      <c r="E40" s="51">
        <f>VLOOKUP(A40,'IN-10-14'!A41:D915,4)</f>
        <v>542.75857142857137</v>
      </c>
      <c r="F40" s="72">
        <f t="shared" si="8"/>
        <v>27789.238857142856</v>
      </c>
      <c r="G40" s="10"/>
    </row>
    <row r="41" spans="1:7">
      <c r="A41" s="83" t="s">
        <v>347</v>
      </c>
      <c r="B41" s="9"/>
      <c r="C41" s="10"/>
      <c r="D41" s="56"/>
      <c r="E41" s="51"/>
      <c r="F41" s="72"/>
      <c r="G41" s="10"/>
    </row>
    <row r="42" spans="1:7">
      <c r="A42" s="11" t="s">
        <v>1607</v>
      </c>
      <c r="B42" s="4" t="str">
        <f>VLOOKUP(A42,Insumos,2)</f>
        <v>cuadrilla tipo U.G.A.T.S.</v>
      </c>
      <c r="C42" s="6" t="str">
        <f>VLOOKUP(A42,Insumos,3)</f>
        <v>h</v>
      </c>
      <c r="D42" s="56">
        <f>18*4</f>
        <v>72</v>
      </c>
      <c r="E42" s="51">
        <f>VLOOKUP(A42,'IN-10-14'!A43:D917,4)</f>
        <v>74.430000000000007</v>
      </c>
      <c r="F42" s="72">
        <f>(D42*E42)</f>
        <v>5358.9600000000009</v>
      </c>
      <c r="G42" s="10"/>
    </row>
    <row r="43" spans="1:7">
      <c r="A43" s="83" t="s">
        <v>348</v>
      </c>
      <c r="B43" s="4"/>
      <c r="C43" s="10"/>
      <c r="D43" s="56"/>
      <c r="E43" s="51"/>
      <c r="F43" s="72"/>
      <c r="G43" s="10"/>
    </row>
    <row r="44" spans="1:7">
      <c r="A44" s="11" t="s">
        <v>1894</v>
      </c>
      <c r="B44" s="4" t="str">
        <f>VLOOKUP(A44,Insumos,2)</f>
        <v>canasta 3 (retroexcavadora 87 HP)</v>
      </c>
      <c r="C44" s="6" t="str">
        <f>VLOOKUP(A44,Insumos,3)</f>
        <v>h</v>
      </c>
      <c r="D44" s="56">
        <v>9</v>
      </c>
      <c r="E44" s="51">
        <f>VLOOKUP(A44,'IN-10-14'!A45:D919,4)</f>
        <v>459.57242883996059</v>
      </c>
      <c r="F44" s="72">
        <f>(D44*E44)</f>
        <v>4136.1518595596453</v>
      </c>
      <c r="G44" s="10"/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B8" sqref="B8"/>
      <pageMargins left="0.78740157480314965" right="0.39370078740157483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21">
    <tabColor indexed="27"/>
  </sheetPr>
  <dimension ref="A1:G32"/>
  <sheetViews>
    <sheetView showGridLines="0" zoomScale="90" zoomScaleNormal="75" zoomScaleSheetLayoutView="75" workbookViewId="0">
      <selection activeCell="A6" sqref="A6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342</v>
      </c>
      <c r="B2" s="218" t="s">
        <v>1741</v>
      </c>
      <c r="C2" s="79" t="str">
        <f>Fecha</f>
        <v>Oct-14</v>
      </c>
      <c r="D2" s="53"/>
      <c r="E2" s="53"/>
      <c r="F2" s="219">
        <f>SUM(F4:F15)</f>
        <v>455.23841067654314</v>
      </c>
      <c r="G2" s="43"/>
    </row>
    <row r="3" spans="1:7" ht="13.5" thickBot="1">
      <c r="A3" s="14" t="s">
        <v>341</v>
      </c>
      <c r="B3" s="14" t="s">
        <v>1740</v>
      </c>
      <c r="C3" s="80" t="s">
        <v>340</v>
      </c>
      <c r="D3" s="54" t="s">
        <v>1836</v>
      </c>
      <c r="E3" s="55"/>
      <c r="F3" s="71"/>
      <c r="G3" s="42" t="s">
        <v>1749</v>
      </c>
    </row>
    <row r="4" spans="1:7" ht="13.5" thickTop="1">
      <c r="A4" s="83" t="s">
        <v>346</v>
      </c>
      <c r="B4" s="9"/>
      <c r="C4" s="10"/>
      <c r="D4" s="56"/>
      <c r="E4" s="56"/>
      <c r="F4" s="72"/>
      <c r="G4" s="10"/>
    </row>
    <row r="5" spans="1:7">
      <c r="A5" s="246" t="s">
        <v>1964</v>
      </c>
      <c r="B5" s="4" t="str">
        <f t="shared" ref="B5:B11" si="0">VLOOKUP(A5,Insumos,2)</f>
        <v>caño PVC Cloacal JE 160mm</v>
      </c>
      <c r="C5" s="6" t="str">
        <f t="shared" ref="C5:C11" si="1">VLOOKUP(A5,Insumos,3)</f>
        <v>m</v>
      </c>
      <c r="D5" s="56">
        <v>1.56</v>
      </c>
      <c r="E5" s="91">
        <f>VLOOKUP(A5,'IN-10-14'!$A$5:$D$441,4)</f>
        <v>113.54988024000002</v>
      </c>
      <c r="F5" s="72">
        <f t="shared" ref="F5:F11" si="2">(D5*E5)</f>
        <v>177.13781317440004</v>
      </c>
      <c r="G5" s="10"/>
    </row>
    <row r="6" spans="1:7">
      <c r="A6" s="11" t="s">
        <v>1611</v>
      </c>
      <c r="B6" s="4" t="str">
        <f>VLOOKUP(A6,'IN-10-14'!$A$5:$D$441,2)</f>
        <v>caño PVC 3.2 p/desague cloacal 0.110 x 4 m.</v>
      </c>
      <c r="C6" s="4" t="str">
        <f>VLOOKUP(A6,'IN-10-14'!$A$5:$D$441,3)</f>
        <v>m</v>
      </c>
      <c r="D6" s="56">
        <v>0.7</v>
      </c>
      <c r="E6" s="91">
        <f>VLOOKUP(A6,'IN-10-14'!$A$5:$D$441,4)</f>
        <v>68.687319935520009</v>
      </c>
      <c r="F6" s="72">
        <f t="shared" si="2"/>
        <v>48.081123954864005</v>
      </c>
      <c r="G6" s="10"/>
    </row>
    <row r="7" spans="1:7">
      <c r="A7" s="11" t="s">
        <v>78</v>
      </c>
      <c r="B7" s="4" t="str">
        <f>VLOOKUP(A7,'IN-10-14'!$A$5:$D$441,2)</f>
        <v>ramal Y PVC Cloacal d=160x110mm</v>
      </c>
      <c r="C7" s="4" t="str">
        <f>VLOOKUP(A7,'IN-10-14'!$A$5:$D$441,3)</f>
        <v>u</v>
      </c>
      <c r="D7" s="56">
        <v>0.16600000000000001</v>
      </c>
      <c r="E7" s="91">
        <f>VLOOKUP(A7,'IN-10-14'!$A$5:$D$441,4)</f>
        <v>242.37</v>
      </c>
      <c r="F7" s="72">
        <f t="shared" si="2"/>
        <v>40.233420000000002</v>
      </c>
      <c r="G7" s="10"/>
    </row>
    <row r="8" spans="1:7">
      <c r="A8" s="11" t="s">
        <v>148</v>
      </c>
      <c r="B8" s="4" t="str">
        <f t="shared" si="0"/>
        <v>marco y tapa H°D° 85/90Kg. Sist. Abisagrado</v>
      </c>
      <c r="C8" s="6" t="str">
        <f t="shared" si="1"/>
        <v>u</v>
      </c>
      <c r="D8" s="56">
        <v>0.01</v>
      </c>
      <c r="E8" s="51">
        <f>VLOOKUP(A8,Insumos,4)</f>
        <v>893.50430730000005</v>
      </c>
      <c r="F8" s="72">
        <f t="shared" si="2"/>
        <v>8.935043073000001</v>
      </c>
      <c r="G8" s="10"/>
    </row>
    <row r="9" spans="1:7">
      <c r="A9" s="11" t="s">
        <v>1578</v>
      </c>
      <c r="B9" s="4" t="str">
        <f t="shared" si="0"/>
        <v>cemento Portland</v>
      </c>
      <c r="C9" s="6" t="str">
        <f t="shared" si="1"/>
        <v>kg</v>
      </c>
      <c r="D9" s="56">
        <v>8.4730000000000008</v>
      </c>
      <c r="E9" s="91">
        <f>VLOOKUP(A9,'IN-10-14'!$A$5:$D$441,4)</f>
        <v>1.7372000000000001</v>
      </c>
      <c r="F9" s="72">
        <f t="shared" si="2"/>
        <v>14.719295600000002</v>
      </c>
      <c r="G9" s="10"/>
    </row>
    <row r="10" spans="1:7">
      <c r="A10" s="11" t="s">
        <v>1590</v>
      </c>
      <c r="B10" s="4" t="str">
        <f t="shared" si="0"/>
        <v>ripiosa</v>
      </c>
      <c r="C10" s="6" t="str">
        <f t="shared" si="1"/>
        <v>m3</v>
      </c>
      <c r="D10" s="56">
        <v>3.2000000000000001E-2</v>
      </c>
      <c r="E10" s="91">
        <f>VLOOKUP(A10,'IN-10-14'!$A$5:$D$441,4)</f>
        <v>174.5</v>
      </c>
      <c r="F10" s="72">
        <f t="shared" si="2"/>
        <v>5.5840000000000005</v>
      </c>
      <c r="G10" s="10"/>
    </row>
    <row r="11" spans="1:7">
      <c r="A11" s="11" t="s">
        <v>1577</v>
      </c>
      <c r="B11" s="4" t="str">
        <f t="shared" si="0"/>
        <v>hierro mejorado de 10 mm.</v>
      </c>
      <c r="C11" s="6" t="str">
        <f t="shared" si="1"/>
        <v>kg</v>
      </c>
      <c r="D11" s="56">
        <v>0.65700000000000003</v>
      </c>
      <c r="E11" s="91">
        <f>VLOOKUP(A11,'IN-10-14'!$A$5:$D$441,4)</f>
        <v>10.584654902836721</v>
      </c>
      <c r="F11" s="72">
        <f t="shared" si="2"/>
        <v>6.9541182711637264</v>
      </c>
      <c r="G11" s="10"/>
    </row>
    <row r="12" spans="1:7">
      <c r="A12" s="83" t="s">
        <v>347</v>
      </c>
      <c r="B12" s="9"/>
      <c r="C12" s="10"/>
      <c r="D12" s="56"/>
      <c r="E12" s="91"/>
      <c r="F12" s="72"/>
      <c r="G12" s="10"/>
    </row>
    <row r="13" spans="1:7">
      <c r="A13" s="11" t="s">
        <v>1607</v>
      </c>
      <c r="B13" s="4" t="str">
        <f>VLOOKUP(A13,Insumos,2)</f>
        <v>cuadrilla tipo U.G.A.T.S.</v>
      </c>
      <c r="C13" s="6" t="str">
        <f>VLOOKUP(A13,Insumos,3)</f>
        <v>h</v>
      </c>
      <c r="D13" s="56">
        <v>1.335</v>
      </c>
      <c r="E13" s="91">
        <f>VLOOKUP(A13,'IN-10-14'!$A$5:$D$441,4)</f>
        <v>74.430000000000007</v>
      </c>
      <c r="F13" s="72">
        <f>(D13*E13)</f>
        <v>99.364050000000006</v>
      </c>
      <c r="G13" s="10"/>
    </row>
    <row r="14" spans="1:7">
      <c r="A14" s="83" t="s">
        <v>348</v>
      </c>
      <c r="B14" s="9"/>
      <c r="C14" s="10"/>
      <c r="D14" s="56"/>
      <c r="E14" s="91"/>
      <c r="F14" s="72"/>
      <c r="G14" s="10"/>
    </row>
    <row r="15" spans="1:7">
      <c r="A15" s="11" t="s">
        <v>1894</v>
      </c>
      <c r="B15" s="4" t="str">
        <f>VLOOKUP(A15,Insumos,2)</f>
        <v>canasta 3 (retroexcavadora 87 HP)</v>
      </c>
      <c r="C15" s="6" t="str">
        <f>VLOOKUP(A15,Insumos,3)</f>
        <v>h</v>
      </c>
      <c r="D15" s="56">
        <v>0.11799999999999999</v>
      </c>
      <c r="E15" s="91">
        <f>VLOOKUP(A15,'IN-10-14'!$A$5:$D$441,4)</f>
        <v>459.57242883996059</v>
      </c>
      <c r="F15" s="72">
        <f>(D15*E15)</f>
        <v>54.229546603115345</v>
      </c>
      <c r="G15" s="10"/>
    </row>
    <row r="16" spans="1:7" ht="13.5" thickBot="1">
      <c r="A16" s="11"/>
      <c r="B16" s="4"/>
      <c r="C16" s="6"/>
      <c r="D16" s="56"/>
      <c r="E16" s="51"/>
      <c r="F16" s="72"/>
      <c r="G16" s="10"/>
    </row>
    <row r="17" spans="1:7" ht="13.5" thickTop="1">
      <c r="A17" s="74" t="s">
        <v>342</v>
      </c>
      <c r="B17" s="218" t="s">
        <v>190</v>
      </c>
      <c r="C17" s="79" t="str">
        <f>Fecha</f>
        <v>Oct-14</v>
      </c>
      <c r="D17" s="53"/>
      <c r="E17" s="53"/>
      <c r="F17" s="219">
        <f>SUM(F19:F28)</f>
        <v>357.24796672167912</v>
      </c>
      <c r="G17" s="43"/>
    </row>
    <row r="18" spans="1:7" ht="13.5" thickBot="1">
      <c r="A18" s="14" t="s">
        <v>341</v>
      </c>
      <c r="B18" s="14" t="s">
        <v>1740</v>
      </c>
      <c r="C18" s="80" t="s">
        <v>340</v>
      </c>
      <c r="D18" s="54" t="s">
        <v>238</v>
      </c>
      <c r="E18" s="55"/>
      <c r="F18" s="71"/>
      <c r="G18" s="42" t="s">
        <v>1749</v>
      </c>
    </row>
    <row r="19" spans="1:7" ht="13.5" thickTop="1">
      <c r="A19" s="83" t="s">
        <v>346</v>
      </c>
      <c r="B19" s="9"/>
      <c r="C19" s="10"/>
      <c r="D19" s="56"/>
      <c r="E19" s="56"/>
      <c r="F19" s="72"/>
      <c r="G19" s="10"/>
    </row>
    <row r="20" spans="1:7">
      <c r="A20" s="246" t="s">
        <v>1964</v>
      </c>
      <c r="B20" s="4" t="str">
        <f>VLOOKUP(A20,Insumos,2)</f>
        <v>caño PVC Cloacal JE 160mm</v>
      </c>
      <c r="C20" s="6" t="str">
        <f>VLOOKUP(A20,Insumos,3)</f>
        <v>m</v>
      </c>
      <c r="D20" s="56">
        <v>1.56</v>
      </c>
      <c r="E20" s="91">
        <f>VLOOKUP(A20,'IN-10-14'!$A$5:$D$441,4)</f>
        <v>113.54988024000002</v>
      </c>
      <c r="F20" s="72">
        <f>(D20*E20)</f>
        <v>177.13781317440004</v>
      </c>
      <c r="G20" s="10"/>
    </row>
    <row r="21" spans="1:7">
      <c r="A21" s="11" t="s">
        <v>148</v>
      </c>
      <c r="B21" s="4" t="str">
        <f>VLOOKUP(A21,Insumos,2)</f>
        <v>marco y tapa H°D° 85/90Kg. Sist. Abisagrado</v>
      </c>
      <c r="C21" s="6" t="str">
        <f>VLOOKUP(A21,Insumos,3)</f>
        <v>u</v>
      </c>
      <c r="D21" s="56">
        <v>0.01</v>
      </c>
      <c r="E21" s="91">
        <f>VLOOKUP(A21,'IN-10-14'!$A$5:$D$441,4)</f>
        <v>893.50430730000005</v>
      </c>
      <c r="F21" s="72">
        <f>(D21*E21)</f>
        <v>8.935043073000001</v>
      </c>
      <c r="G21" s="10"/>
    </row>
    <row r="22" spans="1:7">
      <c r="A22" s="11" t="s">
        <v>1578</v>
      </c>
      <c r="B22" s="4" t="str">
        <f>VLOOKUP(A22,Insumos,2)</f>
        <v>cemento Portland</v>
      </c>
      <c r="C22" s="6" t="str">
        <f>VLOOKUP(A22,Insumos,3)</f>
        <v>kg</v>
      </c>
      <c r="D22" s="56">
        <v>8.4730000000000008</v>
      </c>
      <c r="E22" s="91">
        <f>VLOOKUP(A22,'IN-10-14'!$A$5:$D$441,4)</f>
        <v>1.7372000000000001</v>
      </c>
      <c r="F22" s="72">
        <f>(D22*E22)</f>
        <v>14.719295600000002</v>
      </c>
      <c r="G22" s="10"/>
    </row>
    <row r="23" spans="1:7">
      <c r="A23" s="11" t="s">
        <v>1590</v>
      </c>
      <c r="B23" s="4" t="str">
        <f>VLOOKUP(A23,Insumos,2)</f>
        <v>ripiosa</v>
      </c>
      <c r="C23" s="6" t="str">
        <f>VLOOKUP(A23,Insumos,3)</f>
        <v>m3</v>
      </c>
      <c r="D23" s="56">
        <v>3.2000000000000001E-2</v>
      </c>
      <c r="E23" s="91">
        <f>VLOOKUP(A23,'IN-10-14'!$A$5:$D$441,4)</f>
        <v>174.5</v>
      </c>
      <c r="F23" s="72">
        <f>(D23*E23)</f>
        <v>5.5840000000000005</v>
      </c>
      <c r="G23" s="10"/>
    </row>
    <row r="24" spans="1:7">
      <c r="A24" s="11" t="s">
        <v>1577</v>
      </c>
      <c r="B24" s="4" t="str">
        <f>VLOOKUP(A24,Insumos,2)</f>
        <v>hierro mejorado de 10 mm.</v>
      </c>
      <c r="C24" s="6" t="str">
        <f>VLOOKUP(A24,Insumos,3)</f>
        <v>kg</v>
      </c>
      <c r="D24" s="56">
        <v>0.65700000000000003</v>
      </c>
      <c r="E24" s="91">
        <f>VLOOKUP(A24,'IN-10-14'!$A$5:$D$441,4)</f>
        <v>10.584654902836721</v>
      </c>
      <c r="F24" s="72">
        <f>(D24*E24)</f>
        <v>6.9541182711637264</v>
      </c>
      <c r="G24" s="10"/>
    </row>
    <row r="25" spans="1:7">
      <c r="A25" s="83" t="s">
        <v>347</v>
      </c>
      <c r="B25" s="9"/>
      <c r="C25" s="10"/>
      <c r="D25" s="56"/>
      <c r="E25" s="91"/>
      <c r="F25" s="72"/>
      <c r="G25" s="10"/>
    </row>
    <row r="26" spans="1:7">
      <c r="A26" s="11" t="s">
        <v>1607</v>
      </c>
      <c r="B26" s="4" t="str">
        <f>VLOOKUP(A26,Insumos,2)</f>
        <v>cuadrilla tipo U.G.A.T.S.</v>
      </c>
      <c r="C26" s="6" t="str">
        <f>VLOOKUP(A26,Insumos,3)</f>
        <v>h</v>
      </c>
      <c r="D26" s="56">
        <v>1.2050000000000001</v>
      </c>
      <c r="E26" s="91">
        <f>VLOOKUP(A26,'IN-10-14'!$A$5:$D$441,4)</f>
        <v>74.430000000000007</v>
      </c>
      <c r="F26" s="72">
        <f>(D26*E26)</f>
        <v>89.688150000000007</v>
      </c>
      <c r="G26" s="10"/>
    </row>
    <row r="27" spans="1:7">
      <c r="A27" s="83" t="s">
        <v>348</v>
      </c>
      <c r="B27" s="9"/>
      <c r="C27" s="10"/>
      <c r="D27" s="56"/>
      <c r="E27" s="91"/>
      <c r="F27" s="72"/>
      <c r="G27" s="10"/>
    </row>
    <row r="28" spans="1:7">
      <c r="A28" s="11" t="s">
        <v>1894</v>
      </c>
      <c r="B28" s="4" t="str">
        <f>VLOOKUP(A28,Insumos,2)</f>
        <v>canasta 3 (retroexcavadora 87 HP)</v>
      </c>
      <c r="C28" s="6" t="str">
        <f>VLOOKUP(A28,Insumos,3)</f>
        <v>h</v>
      </c>
      <c r="D28" s="56">
        <v>0.11799999999999999</v>
      </c>
      <c r="E28" s="91">
        <f>VLOOKUP(A28,'IN-10-14'!$A$5:$D$441,4)</f>
        <v>459.57242883996059</v>
      </c>
      <c r="F28" s="72">
        <f>(D28*E28)</f>
        <v>54.229546603115345</v>
      </c>
      <c r="G28" s="10"/>
    </row>
    <row r="29" spans="1:7">
      <c r="A29" s="11"/>
      <c r="B29" s="4"/>
      <c r="C29" s="6"/>
      <c r="D29" s="56"/>
      <c r="E29" s="51"/>
      <c r="F29" s="72"/>
      <c r="G29" s="10"/>
    </row>
    <row r="30" spans="1:7">
      <c r="A30" s="11"/>
      <c r="B30" s="4"/>
      <c r="C30" s="6"/>
      <c r="D30" s="56"/>
      <c r="E30" s="51"/>
      <c r="F30" s="72"/>
      <c r="G30" s="10"/>
    </row>
    <row r="31" spans="1:7">
      <c r="A31" s="11"/>
      <c r="B31" s="4"/>
      <c r="C31" s="6"/>
      <c r="D31" s="56"/>
      <c r="E31" s="51"/>
      <c r="F31" s="72"/>
      <c r="G31" s="10"/>
    </row>
    <row r="32" spans="1:7">
      <c r="A32" s="11"/>
      <c r="B32" s="4"/>
      <c r="C32" s="6"/>
      <c r="D32" s="56"/>
      <c r="E32" s="51"/>
      <c r="F32" s="72"/>
      <c r="G32" s="10"/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H24" sqref="H24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22">
    <tabColor indexed="39"/>
  </sheetPr>
  <dimension ref="A1:G26"/>
  <sheetViews>
    <sheetView showGridLines="0" zoomScale="90" zoomScaleNormal="75" zoomScaleSheetLayoutView="75" workbookViewId="0">
      <selection activeCell="E14" sqref="E14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>
      <c r="A1" s="11"/>
      <c r="B1" s="4"/>
      <c r="C1" s="6"/>
      <c r="D1" s="56"/>
      <c r="E1" s="51"/>
      <c r="F1" s="72"/>
      <c r="G1" s="10"/>
    </row>
    <row r="2" spans="1:7" ht="13.5" thickTop="1">
      <c r="A2" s="74" t="s">
        <v>342</v>
      </c>
      <c r="B2" s="218" t="s">
        <v>1744</v>
      </c>
      <c r="C2" s="79" t="str">
        <f>Fecha</f>
        <v>Oct-14</v>
      </c>
      <c r="D2" s="53"/>
      <c r="E2" s="53"/>
      <c r="F2" s="219">
        <f>SUM(F4:F11)</f>
        <v>195.02137245788327</v>
      </c>
      <c r="G2" s="43"/>
    </row>
    <row r="3" spans="1:7" ht="13.5" thickBot="1">
      <c r="A3" s="14" t="s">
        <v>341</v>
      </c>
      <c r="B3" s="14" t="s">
        <v>1742</v>
      </c>
      <c r="C3" s="80" t="s">
        <v>340</v>
      </c>
      <c r="D3" s="54" t="s">
        <v>1854</v>
      </c>
      <c r="E3" s="55"/>
      <c r="F3" s="71"/>
      <c r="G3" s="42" t="s">
        <v>1749</v>
      </c>
    </row>
    <row r="4" spans="1:7" ht="13.5" thickTop="1">
      <c r="A4" s="83" t="s">
        <v>346</v>
      </c>
      <c r="B4" s="9"/>
      <c r="C4" s="19"/>
      <c r="D4" s="64"/>
      <c r="E4" s="56"/>
      <c r="F4" s="72"/>
      <c r="G4" s="10"/>
    </row>
    <row r="5" spans="1:7">
      <c r="A5" s="11" t="s">
        <v>149</v>
      </c>
      <c r="B5" s="4" t="str">
        <f>VLOOKUP(A5,Insumos,2)</f>
        <v xml:space="preserve">tubo Pead Gas 50mm 4bar </v>
      </c>
      <c r="C5" s="4" t="str">
        <f>VLOOKUP(A5,'IN-10-14'!$A$5:$D$441,3)</f>
        <v>m</v>
      </c>
      <c r="D5" s="56">
        <v>1.8</v>
      </c>
      <c r="E5" s="91">
        <f>VLOOKUP(A5,'IN-10-14'!$A$5:$D$441,4)</f>
        <v>30.687995099999995</v>
      </c>
      <c r="F5" s="72">
        <f>(D5*E5)</f>
        <v>55.238391179999994</v>
      </c>
      <c r="G5" s="10"/>
    </row>
    <row r="6" spans="1:7">
      <c r="A6" s="11" t="s">
        <v>191</v>
      </c>
      <c r="B6" s="4" t="str">
        <f>VLOOKUP(A6,Insumos,2)</f>
        <v>cupla E/F Gas PE80 50mm</v>
      </c>
      <c r="C6" s="4" t="str">
        <f>VLOOKUP(A6,'IN-10-14'!$A$5:$D$441,3)</f>
        <v>u</v>
      </c>
      <c r="D6" s="56">
        <v>0.16</v>
      </c>
      <c r="E6" s="91">
        <f>VLOOKUP(A6,'IN-10-14'!$A$5:$D$441,4)</f>
        <v>62.247933884297517</v>
      </c>
      <c r="F6" s="72">
        <f>(D6*E6)</f>
        <v>9.959669421487602</v>
      </c>
      <c r="G6" s="10"/>
    </row>
    <row r="7" spans="1:7">
      <c r="A7" s="11" t="s">
        <v>157</v>
      </c>
      <c r="B7" s="4" t="str">
        <f>VLOOKUP(A7,Insumos,2)</f>
        <v>toma Servicio Gas E/F 63x25mm</v>
      </c>
      <c r="C7" s="4" t="str">
        <f>VLOOKUP(A7,'IN-10-14'!$A$5:$D$441,3)</f>
        <v>u</v>
      </c>
      <c r="D7" s="56">
        <v>0.113</v>
      </c>
      <c r="E7" s="91">
        <f>VLOOKUP(A7,'IN-10-14'!$A$5:$D$441,4)</f>
        <v>135.04906800000001</v>
      </c>
      <c r="F7" s="72">
        <f>(D7*E7)</f>
        <v>15.260544684000001</v>
      </c>
      <c r="G7" s="10"/>
    </row>
    <row r="8" spans="1:7">
      <c r="A8" s="83" t="s">
        <v>347</v>
      </c>
      <c r="B8" s="9"/>
      <c r="C8" s="10"/>
      <c r="D8" s="56"/>
      <c r="E8" s="91"/>
      <c r="F8" s="72"/>
      <c r="G8" s="10"/>
    </row>
    <row r="9" spans="1:7">
      <c r="A9" s="11" t="s">
        <v>1607</v>
      </c>
      <c r="B9" s="4" t="str">
        <f>VLOOKUP(A9,Insumos,2)</f>
        <v>cuadrilla tipo U.G.A.T.S.</v>
      </c>
      <c r="C9" s="6" t="str">
        <f>VLOOKUP(A9,Insumos,3)</f>
        <v>h</v>
      </c>
      <c r="D9" s="56">
        <v>0.86</v>
      </c>
      <c r="E9" s="91">
        <f>VLOOKUP(A9,'IN-10-14'!$A$5:$D$441,4)</f>
        <v>74.430000000000007</v>
      </c>
      <c r="F9" s="72">
        <f>(D9*E9)</f>
        <v>64.009799999999998</v>
      </c>
      <c r="G9" s="10"/>
    </row>
    <row r="10" spans="1:7">
      <c r="A10" s="83" t="s">
        <v>348</v>
      </c>
      <c r="B10" s="9"/>
      <c r="C10" s="10"/>
      <c r="D10" s="56"/>
      <c r="E10" s="91"/>
      <c r="F10" s="72"/>
      <c r="G10" s="10"/>
    </row>
    <row r="11" spans="1:7">
      <c r="A11" s="11" t="s">
        <v>1894</v>
      </c>
      <c r="B11" s="4" t="str">
        <f>VLOOKUP(A11,Insumos,2)</f>
        <v>canasta 3 (retroexcavadora 87 HP)</v>
      </c>
      <c r="C11" s="6" t="str">
        <f>VLOOKUP(A11,Insumos,3)</f>
        <v>h</v>
      </c>
      <c r="D11" s="56">
        <v>0.11</v>
      </c>
      <c r="E11" s="91">
        <f>VLOOKUP(A11,'IN-10-14'!$A$5:$D$441,4)</f>
        <v>459.57242883996059</v>
      </c>
      <c r="F11" s="72">
        <f>(D11*E11)</f>
        <v>50.552967172395668</v>
      </c>
      <c r="G11" s="10"/>
    </row>
    <row r="12" spans="1:7">
      <c r="A12" s="9"/>
      <c r="B12" s="9"/>
      <c r="C12" s="10"/>
      <c r="D12" s="52"/>
      <c r="E12" s="52"/>
      <c r="F12" s="70"/>
      <c r="G12" s="10"/>
    </row>
    <row r="24" spans="1:7">
      <c r="A24" s="11"/>
      <c r="B24" s="12"/>
      <c r="C24" s="13"/>
      <c r="D24" s="56"/>
      <c r="E24" s="56"/>
      <c r="F24" s="72"/>
      <c r="G24" s="10"/>
    </row>
    <row r="25" spans="1:7">
      <c r="A25" s="9"/>
      <c r="B25" s="9"/>
      <c r="C25" s="10"/>
      <c r="D25" s="52"/>
      <c r="E25" s="52"/>
      <c r="F25" s="70"/>
      <c r="G25" s="10"/>
    </row>
    <row r="26" spans="1:7">
      <c r="A26" s="11"/>
      <c r="B26" s="12"/>
      <c r="C26" s="13"/>
      <c r="D26" s="56"/>
      <c r="E26" s="56"/>
      <c r="F26" s="72"/>
      <c r="G26" s="10"/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B12" sqref="B12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23">
    <tabColor indexed="31"/>
  </sheetPr>
  <dimension ref="A1:H67"/>
  <sheetViews>
    <sheetView showGridLines="0" zoomScale="90" zoomScaleNormal="75" zoomScaleSheetLayoutView="75" workbookViewId="0">
      <selection activeCell="D15" sqref="D15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1" style="66" bestFit="1" customWidth="1"/>
    <col min="7" max="7" width="3.5546875" style="5" customWidth="1"/>
    <col min="8" max="16384" width="9.77734375" style="1"/>
  </cols>
  <sheetData>
    <row r="1" spans="1:7" ht="13.5" thickBot="1"/>
    <row r="2" spans="1:7" ht="13.5" thickTop="1">
      <c r="A2" s="76" t="s">
        <v>342</v>
      </c>
      <c r="B2" s="223" t="s">
        <v>1747</v>
      </c>
      <c r="C2" s="81" t="str">
        <f>Fecha</f>
        <v>Oct-14</v>
      </c>
      <c r="D2" s="57"/>
      <c r="E2" s="57"/>
      <c r="F2" s="224">
        <f>F5+F6+F7+F8+F9+F10+F11+F12+F13+F14+F16+F18</f>
        <v>208967.29892762745</v>
      </c>
      <c r="G2" s="45"/>
    </row>
    <row r="3" spans="1:7" ht="13.5" thickBot="1">
      <c r="A3" s="34" t="s">
        <v>341</v>
      </c>
      <c r="B3" s="35" t="s">
        <v>275</v>
      </c>
      <c r="C3" s="35" t="s">
        <v>340</v>
      </c>
      <c r="D3" s="58" t="s">
        <v>276</v>
      </c>
      <c r="E3" s="59"/>
      <c r="F3" s="73"/>
      <c r="G3" s="46" t="s">
        <v>174</v>
      </c>
    </row>
    <row r="4" spans="1:7" ht="13.5" thickTop="1">
      <c r="A4" s="83" t="s">
        <v>346</v>
      </c>
      <c r="B4" s="4"/>
      <c r="C4" s="6"/>
      <c r="D4" s="56"/>
      <c r="E4" s="51"/>
      <c r="F4" s="72"/>
      <c r="G4" s="10"/>
    </row>
    <row r="5" spans="1:7">
      <c r="A5" s="11" t="s">
        <v>294</v>
      </c>
      <c r="B5" s="4" t="str">
        <f t="shared" ref="B5:B14" si="0">VLOOKUP(A5,Insumos,2)</f>
        <v>Cruceta de H°A° MN 157 (2,20 m) c/ganchos</v>
      </c>
      <c r="C5" s="6" t="str">
        <f t="shared" ref="C5:C14" si="1">VLOOKUP(A5,Insumos,3)</f>
        <v>u</v>
      </c>
      <c r="D5" s="60">
        <v>2</v>
      </c>
      <c r="E5" s="61">
        <f>VLOOKUP(A5,'IN-10-14'!A6:D880,4)</f>
        <v>4827.3727680000002</v>
      </c>
      <c r="F5" s="72">
        <f t="shared" ref="F5:F10" si="2">(D5*E5)</f>
        <v>9654.7455360000004</v>
      </c>
      <c r="G5" s="10"/>
    </row>
    <row r="6" spans="1:7">
      <c r="A6" s="246" t="s">
        <v>854</v>
      </c>
      <c r="B6" s="4" t="str">
        <f t="shared" si="0"/>
        <v xml:space="preserve">Descargador óxido de zinc con desligador </v>
      </c>
      <c r="C6" s="6" t="str">
        <f t="shared" si="1"/>
        <v>u</v>
      </c>
      <c r="D6" s="60">
        <v>3.891</v>
      </c>
      <c r="E6" s="61">
        <f>VLOOKUP(A6,'IN-10-14'!A7:D881,4)</f>
        <v>764.89351949999991</v>
      </c>
      <c r="F6" s="72">
        <f t="shared" si="2"/>
        <v>2976.2006843744998</v>
      </c>
      <c r="G6" s="10"/>
    </row>
    <row r="7" spans="1:7">
      <c r="A7" s="246" t="s">
        <v>855</v>
      </c>
      <c r="B7" s="4" t="str">
        <f t="shared" si="0"/>
        <v>Cable de Cu desnudo de 50 mm² de Secc.</v>
      </c>
      <c r="C7" s="6" t="str">
        <f t="shared" si="1"/>
        <v>m</v>
      </c>
      <c r="D7" s="60">
        <v>109.51</v>
      </c>
      <c r="E7" s="61">
        <f>VLOOKUP(A7,'IN-10-14'!A8:D882,4)</f>
        <v>101.03701698749997</v>
      </c>
      <c r="F7" s="72">
        <f t="shared" si="2"/>
        <v>11064.563730301123</v>
      </c>
      <c r="G7" s="10"/>
    </row>
    <row r="8" spans="1:7">
      <c r="A8" s="11" t="s">
        <v>298</v>
      </c>
      <c r="B8" s="4" t="str">
        <f>VLOOKUP(A8,'IN-10-14'!$A$5:$D$441,2)</f>
        <v>Transformador de potencia 13,2 KV, 315/0,4/0,231 KVA</v>
      </c>
      <c r="C8" s="4" t="str">
        <f>VLOOKUP(A8,'IN-10-14'!$A$5:$D$441,3)</f>
        <v>u</v>
      </c>
      <c r="D8" s="60">
        <v>1</v>
      </c>
      <c r="E8" s="61">
        <f>VLOOKUP(A8,'IN-10-14'!A9:D883,4)</f>
        <v>107587.13629158982</v>
      </c>
      <c r="F8" s="72">
        <f t="shared" si="2"/>
        <v>107587.13629158982</v>
      </c>
      <c r="G8" s="10"/>
    </row>
    <row r="9" spans="1:7" hidden="1">
      <c r="A9" s="11" t="s">
        <v>1314</v>
      </c>
      <c r="B9" s="4" t="s">
        <v>319</v>
      </c>
      <c r="C9" s="4" t="s">
        <v>174</v>
      </c>
      <c r="D9" s="60">
        <v>6.242</v>
      </c>
      <c r="E9" s="61">
        <v>159.04</v>
      </c>
      <c r="F9" s="72">
        <v>992.72767999999996</v>
      </c>
      <c r="G9" s="10"/>
    </row>
    <row r="10" spans="1:7">
      <c r="A10" s="11" t="s">
        <v>300</v>
      </c>
      <c r="B10" s="4" t="str">
        <f>VLOOKUP(A10,'IN-10-14'!$A$5:$D$441,2)</f>
        <v>Morseto de retensión - grampa peine</v>
      </c>
      <c r="C10" s="4" t="str">
        <f>VLOOKUP(A10,'IN-10-14'!$A$5:$D$441,3)</f>
        <v>gl</v>
      </c>
      <c r="D10" s="60">
        <v>47.35</v>
      </c>
      <c r="E10" s="61">
        <f>VLOOKUP(A10,'IN-10-14'!A11:D885,4)</f>
        <v>16.410319470000001</v>
      </c>
      <c r="F10" s="72">
        <f t="shared" si="2"/>
        <v>777.02862690450002</v>
      </c>
      <c r="G10" s="10"/>
    </row>
    <row r="11" spans="1:7">
      <c r="A11" s="11" t="s">
        <v>1850</v>
      </c>
      <c r="B11" s="4" t="str">
        <f t="shared" si="0"/>
        <v>arena mediana</v>
      </c>
      <c r="C11" s="6" t="str">
        <f t="shared" si="1"/>
        <v>m3</v>
      </c>
      <c r="D11" s="60">
        <v>7</v>
      </c>
      <c r="E11" s="61">
        <f>VLOOKUP(A11,'IN-10-14'!A12:D886,4)</f>
        <v>184.46464646464645</v>
      </c>
      <c r="F11" s="72">
        <f>E11*D11</f>
        <v>1291.2525252525252</v>
      </c>
      <c r="G11" s="10"/>
    </row>
    <row r="12" spans="1:7">
      <c r="A12" s="11" t="s">
        <v>1579</v>
      </c>
      <c r="B12" s="4" t="str">
        <f t="shared" si="0"/>
        <v>ripio zarandeado 1/3</v>
      </c>
      <c r="C12" s="6" t="str">
        <f t="shared" si="1"/>
        <v>m3</v>
      </c>
      <c r="D12" s="60">
        <v>11</v>
      </c>
      <c r="E12" s="61">
        <f>VLOOKUP(A12,'IN-10-14'!A13:D887,4)</f>
        <v>157.18044077134985</v>
      </c>
      <c r="F12" s="72">
        <f>E12*D12</f>
        <v>1728.9848484848483</v>
      </c>
      <c r="G12" s="10"/>
    </row>
    <row r="13" spans="1:7">
      <c r="A13" s="11" t="s">
        <v>1578</v>
      </c>
      <c r="B13" s="4" t="str">
        <f t="shared" si="0"/>
        <v>cemento Portland</v>
      </c>
      <c r="C13" s="6" t="str">
        <f t="shared" si="1"/>
        <v>kg</v>
      </c>
      <c r="D13" s="60">
        <v>2700</v>
      </c>
      <c r="E13" s="61">
        <f>VLOOKUP(A13,'IN-10-14'!A14:D888,4)</f>
        <v>1.7372000000000001</v>
      </c>
      <c r="F13" s="72">
        <f>E13*D13</f>
        <v>4690.4400000000005</v>
      </c>
      <c r="G13" s="10"/>
    </row>
    <row r="14" spans="1:7">
      <c r="A14" s="11" t="s">
        <v>296</v>
      </c>
      <c r="B14" s="4" t="str">
        <f t="shared" si="0"/>
        <v>Columna de Hº Aº Vº de 10,50/1000/3</v>
      </c>
      <c r="C14" s="6" t="str">
        <f t="shared" si="1"/>
        <v>u</v>
      </c>
      <c r="D14" s="60">
        <v>2.0979999999999999</v>
      </c>
      <c r="E14" s="61">
        <f>VLOOKUP(A14,'IN-10-14'!A15:D889,4)</f>
        <v>18938.919999999998</v>
      </c>
      <c r="F14" s="72">
        <f>(D14*E14)</f>
        <v>39733.854159999995</v>
      </c>
      <c r="G14" s="10"/>
    </row>
    <row r="15" spans="1:7">
      <c r="A15" s="83" t="s">
        <v>347</v>
      </c>
      <c r="B15" s="9"/>
      <c r="C15" s="10"/>
      <c r="D15" s="56"/>
      <c r="E15" s="61"/>
      <c r="F15" s="72"/>
      <c r="G15" s="10"/>
    </row>
    <row r="16" spans="1:7">
      <c r="A16" s="11" t="s">
        <v>1607</v>
      </c>
      <c r="B16" s="4" t="str">
        <f>VLOOKUP(A16,Insumos,2)</f>
        <v>cuadrilla tipo U.G.A.T.S.</v>
      </c>
      <c r="C16" s="6" t="str">
        <f>VLOOKUP(A16,Insumos,3)</f>
        <v>h</v>
      </c>
      <c r="D16" s="56">
        <v>301.89999999999998</v>
      </c>
      <c r="E16" s="61">
        <f>VLOOKUP(A16,'IN-10-14'!A17:D891,4)</f>
        <v>74.430000000000007</v>
      </c>
      <c r="F16" s="72">
        <f>(D16*E16)</f>
        <v>22470.417000000001</v>
      </c>
      <c r="G16" s="10"/>
    </row>
    <row r="17" spans="1:7">
      <c r="A17" s="83" t="s">
        <v>348</v>
      </c>
      <c r="B17" s="9"/>
      <c r="C17" s="10"/>
      <c r="D17" s="56"/>
      <c r="E17" s="61"/>
      <c r="F17" s="72"/>
      <c r="G17" s="10"/>
    </row>
    <row r="18" spans="1:7">
      <c r="A18" s="11" t="s">
        <v>1894</v>
      </c>
      <c r="B18" s="4" t="str">
        <f>VLOOKUP(A18,Insumos,2)</f>
        <v>canasta 3 (retroexcavadora 87 HP)</v>
      </c>
      <c r="C18" s="6" t="str">
        <f>VLOOKUP(A18,Insumos,3)</f>
        <v>h</v>
      </c>
      <c r="D18" s="56">
        <v>13.0555</v>
      </c>
      <c r="E18" s="61">
        <f>VLOOKUP(A18,'IN-10-14'!A19:D893,4)</f>
        <v>459.57242883996059</v>
      </c>
      <c r="F18" s="72">
        <f>(D18*E18)</f>
        <v>5999.9478447201054</v>
      </c>
      <c r="G18" s="10"/>
    </row>
    <row r="19" spans="1:7" ht="13.5" thickBot="1">
      <c r="A19" s="11"/>
      <c r="B19" s="4"/>
      <c r="C19" s="6"/>
      <c r="D19" s="56"/>
      <c r="E19" s="51"/>
      <c r="F19" s="72"/>
      <c r="G19" s="10"/>
    </row>
    <row r="20" spans="1:7" ht="13.5" thickTop="1">
      <c r="A20" s="76" t="s">
        <v>342</v>
      </c>
      <c r="B20" s="223" t="s">
        <v>1748</v>
      </c>
      <c r="C20" s="81" t="str">
        <f>Fecha</f>
        <v>Oct-14</v>
      </c>
      <c r="D20" s="57"/>
      <c r="E20" s="57"/>
      <c r="F20" s="224">
        <f>SUM(F23:F35)</f>
        <v>39881.382789904485</v>
      </c>
      <c r="G20" s="45"/>
    </row>
    <row r="21" spans="1:7" ht="13.5" thickBot="1">
      <c r="A21" s="34" t="s">
        <v>341</v>
      </c>
      <c r="B21" s="34" t="s">
        <v>281</v>
      </c>
      <c r="C21" s="35" t="s">
        <v>340</v>
      </c>
      <c r="D21" s="62" t="s">
        <v>282</v>
      </c>
      <c r="E21" s="59"/>
      <c r="F21" s="73"/>
      <c r="G21" s="47" t="s">
        <v>343</v>
      </c>
    </row>
    <row r="22" spans="1:7" ht="13.5" thickTop="1">
      <c r="A22" s="83" t="s">
        <v>346</v>
      </c>
      <c r="B22" s="9"/>
      <c r="C22" s="10"/>
      <c r="D22" s="56"/>
      <c r="E22" s="56"/>
      <c r="F22" s="72"/>
      <c r="G22" s="10"/>
    </row>
    <row r="23" spans="1:7">
      <c r="A23" s="11" t="s">
        <v>1850</v>
      </c>
      <c r="B23" s="4" t="str">
        <f>VLOOKUP(A23,Insumos,2)</f>
        <v>arena mediana</v>
      </c>
      <c r="C23" s="6" t="str">
        <f>VLOOKUP(A23,Insumos,3)</f>
        <v>m3</v>
      </c>
      <c r="D23" s="56">
        <v>0.93</v>
      </c>
      <c r="E23" s="61">
        <f>VLOOKUP(A23,'IN-10-14'!A24:D898,4)</f>
        <v>184.46464646464645</v>
      </c>
      <c r="F23" s="72">
        <f t="shared" ref="F23:F31" si="3">(D23*E23)</f>
        <v>171.55212121212119</v>
      </c>
      <c r="G23" s="10"/>
    </row>
    <row r="24" spans="1:7">
      <c r="A24" s="11" t="s">
        <v>1579</v>
      </c>
      <c r="B24" s="4" t="str">
        <f>VLOOKUP(A24,Insumos,2)</f>
        <v>ripio zarandeado 1/3</v>
      </c>
      <c r="C24" s="6" t="str">
        <f>VLOOKUP(A24,Insumos,3)</f>
        <v>m3</v>
      </c>
      <c r="D24" s="56">
        <v>1.07</v>
      </c>
      <c r="E24" s="61">
        <f>VLOOKUP(A24,'IN-10-14'!A25:D899,4)</f>
        <v>157.18044077134985</v>
      </c>
      <c r="F24" s="72">
        <f t="shared" si="3"/>
        <v>168.18307162534435</v>
      </c>
      <c r="G24" s="10"/>
    </row>
    <row r="25" spans="1:7">
      <c r="A25" s="11" t="s">
        <v>1578</v>
      </c>
      <c r="B25" s="4" t="str">
        <f>VLOOKUP(A25,Insumos,2)</f>
        <v>cemento Portland</v>
      </c>
      <c r="C25" s="6" t="str">
        <f>VLOOKUP(A25,Insumos,3)</f>
        <v>kg</v>
      </c>
      <c r="D25" s="56">
        <v>161</v>
      </c>
      <c r="E25" s="61">
        <f>VLOOKUP(A25,'IN-10-14'!A26:D900,4)</f>
        <v>1.7372000000000001</v>
      </c>
      <c r="F25" s="72">
        <f t="shared" si="3"/>
        <v>279.68920000000003</v>
      </c>
      <c r="G25" s="10"/>
    </row>
    <row r="26" spans="1:7">
      <c r="A26" s="11" t="s">
        <v>295</v>
      </c>
      <c r="B26" s="4" t="str">
        <f>VLOOKUP(A26,Insumos,2)</f>
        <v>Cruceta de Hº Aº separadora</v>
      </c>
      <c r="C26" s="6" t="str">
        <f>VLOOKUP(A26,Insumos,3)</f>
        <v>u</v>
      </c>
      <c r="D26" s="63">
        <v>1</v>
      </c>
      <c r="E26" s="61">
        <f>VLOOKUP(A26,'IN-10-14'!A27:D901,4)</f>
        <v>4775.0276735999996</v>
      </c>
      <c r="F26" s="72">
        <f t="shared" si="3"/>
        <v>4775.0276735999996</v>
      </c>
      <c r="G26" s="10"/>
    </row>
    <row r="27" spans="1:7">
      <c r="A27" s="11" t="s">
        <v>296</v>
      </c>
      <c r="B27" s="4" t="str">
        <f>VLOOKUP(A27,Insumos,2)</f>
        <v>Columna de Hº Aº Vº de 10,50/1000/3</v>
      </c>
      <c r="C27" s="6" t="str">
        <f>VLOOKUP(A27,Insumos,3)</f>
        <v>u</v>
      </c>
      <c r="D27" s="63">
        <v>1</v>
      </c>
      <c r="E27" s="61">
        <f>VLOOKUP(A27,'IN-10-14'!A28:D902,4)</f>
        <v>18938.919999999998</v>
      </c>
      <c r="F27" s="72">
        <f t="shared" si="3"/>
        <v>18938.919999999998</v>
      </c>
      <c r="G27" s="10"/>
    </row>
    <row r="28" spans="1:7">
      <c r="A28" s="246" t="s">
        <v>861</v>
      </c>
      <c r="B28" s="4" t="str">
        <f>VLOOKUP(A28,'IN-10-14'!$A$5:$D$441,2)</f>
        <v>Aislador Orgánico 13,2/33kv</v>
      </c>
      <c r="C28" s="4" t="str">
        <f>VLOOKUP(A28,'IN-10-14'!$A$5:$D$441,3)</f>
        <v>u</v>
      </c>
      <c r="D28" s="63">
        <v>3</v>
      </c>
      <c r="E28" s="61">
        <f>VLOOKUP(A28,'IN-10-14'!A29:D903,4)</f>
        <v>179.95223729999998</v>
      </c>
      <c r="F28" s="72">
        <f t="shared" si="3"/>
        <v>539.85671189999994</v>
      </c>
      <c r="G28" s="10"/>
    </row>
    <row r="29" spans="1:7">
      <c r="A29" s="246" t="s">
        <v>867</v>
      </c>
      <c r="B29" s="4" t="str">
        <f>VLOOKUP(A29,'IN-10-14'!$A$5:$D$441,2)</f>
        <v>Juego de retensión completo</v>
      </c>
      <c r="C29" s="4" t="str">
        <f>VLOOKUP(A29,'IN-10-14'!$A$5:$D$441,3)</f>
        <v>u</v>
      </c>
      <c r="D29" s="63">
        <v>9.3699999999999992</v>
      </c>
      <c r="E29" s="61">
        <f>VLOOKUP(A29,'IN-10-14'!A30:D904,4)</f>
        <v>744.55094999999994</v>
      </c>
      <c r="F29" s="72">
        <f t="shared" si="3"/>
        <v>6976.4424014999986</v>
      </c>
      <c r="G29" s="10"/>
    </row>
    <row r="30" spans="1:7">
      <c r="A30" s="246" t="s">
        <v>857</v>
      </c>
      <c r="B30" s="4" t="str">
        <f>VLOOKUP(A30,'IN-10-14'!$A$5:$D$441,2)</f>
        <v>Cable de Al desnudo de 50 mm² de Secc.</v>
      </c>
      <c r="C30" s="4" t="str">
        <f>VLOOKUP(A30,'IN-10-14'!$A$5:$D$441,3)</f>
        <v>m</v>
      </c>
      <c r="D30" s="56">
        <v>1.05</v>
      </c>
      <c r="E30" s="61">
        <f>VLOOKUP(A30,'IN-10-14'!A31:D905,4)</f>
        <v>16.481292134999997</v>
      </c>
      <c r="F30" s="72">
        <f t="shared" si="3"/>
        <v>17.305356741749996</v>
      </c>
      <c r="G30" s="10"/>
    </row>
    <row r="31" spans="1:7">
      <c r="A31" s="246" t="s">
        <v>862</v>
      </c>
      <c r="B31" s="4" t="str">
        <f>VLOOKUP(A31,'IN-10-14'!$A$5:$D$441,2)</f>
        <v>Seccionador fusible XS</v>
      </c>
      <c r="C31" s="4" t="str">
        <f>VLOOKUP(A31,'IN-10-14'!$A$5:$D$441,3)</f>
        <v>u</v>
      </c>
      <c r="D31" s="56">
        <v>1.37</v>
      </c>
      <c r="E31" s="61">
        <f>VLOOKUP(A31,'IN-10-14'!A32:D906,4)</f>
        <v>1316.1567012000003</v>
      </c>
      <c r="F31" s="72">
        <f t="shared" si="3"/>
        <v>1803.1346806440006</v>
      </c>
      <c r="G31" s="10"/>
    </row>
    <row r="32" spans="1:7">
      <c r="A32" s="83" t="s">
        <v>347</v>
      </c>
      <c r="B32" s="9"/>
      <c r="C32" s="6"/>
      <c r="D32" s="56"/>
      <c r="E32" s="61"/>
      <c r="F32" s="72"/>
      <c r="G32" s="10"/>
    </row>
    <row r="33" spans="1:7">
      <c r="A33" s="11" t="s">
        <v>1607</v>
      </c>
      <c r="B33" s="4" t="str">
        <f>VLOOKUP(A33,Insumos,2)</f>
        <v>cuadrilla tipo U.G.A.T.S.</v>
      </c>
      <c r="C33" s="6" t="str">
        <f>VLOOKUP(A33,Insumos,3)</f>
        <v>h</v>
      </c>
      <c r="D33" s="56">
        <v>51.362000000000002</v>
      </c>
      <c r="E33" s="61">
        <f>VLOOKUP(A33,'IN-10-14'!A34:D908,4)</f>
        <v>74.430000000000007</v>
      </c>
      <c r="F33" s="72">
        <f>(D33*E33)</f>
        <v>3822.8736600000007</v>
      </c>
      <c r="G33" s="10"/>
    </row>
    <row r="34" spans="1:7">
      <c r="A34" s="83" t="s">
        <v>348</v>
      </c>
      <c r="B34" s="9"/>
      <c r="C34" s="6"/>
      <c r="D34" s="56"/>
      <c r="E34" s="61"/>
      <c r="F34" s="72"/>
      <c r="G34" s="10"/>
    </row>
    <row r="35" spans="1:7">
      <c r="A35" s="11" t="s">
        <v>1894</v>
      </c>
      <c r="B35" s="4" t="str">
        <f>VLOOKUP(A35,Insumos,2)</f>
        <v>canasta 3 (retroexcavadora 87 HP)</v>
      </c>
      <c r="C35" s="6" t="str">
        <f>VLOOKUP(A35,Insumos,3)</f>
        <v>h</v>
      </c>
      <c r="D35" s="56">
        <v>5.1970000000000001</v>
      </c>
      <c r="E35" s="61">
        <f>VLOOKUP(A35,'IN-10-14'!A36:D910,4)</f>
        <v>459.57242883996059</v>
      </c>
      <c r="F35" s="72">
        <f>(D35*E35)</f>
        <v>2388.3979126812751</v>
      </c>
      <c r="G35" s="10"/>
    </row>
    <row r="36" spans="1:7" ht="13.5" thickBot="1">
      <c r="A36" s="11"/>
      <c r="B36" s="4"/>
      <c r="C36" s="6"/>
      <c r="D36" s="56"/>
      <c r="E36" s="51"/>
      <c r="F36" s="72"/>
      <c r="G36" s="10"/>
    </row>
    <row r="37" spans="1:7" ht="13.5" thickTop="1">
      <c r="A37" s="76" t="s">
        <v>342</v>
      </c>
      <c r="B37" s="223" t="s">
        <v>1750</v>
      </c>
      <c r="C37" s="81" t="str">
        <f>Fecha</f>
        <v>Oct-14</v>
      </c>
      <c r="D37" s="57"/>
      <c r="E37" s="57"/>
      <c r="F37" s="224">
        <f>SUM(F40:F55)</f>
        <v>26971.506127669785</v>
      </c>
      <c r="G37" s="45"/>
    </row>
    <row r="38" spans="1:7" ht="13.5" thickBot="1">
      <c r="A38" s="34" t="s">
        <v>341</v>
      </c>
      <c r="B38" s="34" t="s">
        <v>285</v>
      </c>
      <c r="C38" s="35" t="s">
        <v>340</v>
      </c>
      <c r="D38" s="62" t="s">
        <v>301</v>
      </c>
      <c r="E38" s="59"/>
      <c r="F38" s="73"/>
      <c r="G38" s="47" t="s">
        <v>343</v>
      </c>
    </row>
    <row r="39" spans="1:7" ht="13.5" thickTop="1">
      <c r="A39" s="83" t="s">
        <v>346</v>
      </c>
      <c r="B39" s="9"/>
      <c r="C39" s="10"/>
      <c r="D39" s="56"/>
      <c r="E39" s="56"/>
      <c r="F39" s="72"/>
      <c r="G39" s="10"/>
    </row>
    <row r="40" spans="1:7">
      <c r="A40" s="11" t="s">
        <v>1850</v>
      </c>
      <c r="B40" s="4" t="str">
        <f>VLOOKUP(A40,Insumos,2)</f>
        <v>arena mediana</v>
      </c>
      <c r="C40" s="6" t="str">
        <f>VLOOKUP(A40,Insumos,3)</f>
        <v>m3</v>
      </c>
      <c r="D40" s="56">
        <v>1.59</v>
      </c>
      <c r="E40" s="61">
        <f>VLOOKUP(A40,'IN-10-14'!A41:D915,4)</f>
        <v>184.46464646464645</v>
      </c>
      <c r="F40" s="72">
        <f t="shared" ref="F40:F51" si="4">(D40*E40)</f>
        <v>293.29878787878789</v>
      </c>
      <c r="G40" s="10"/>
    </row>
    <row r="41" spans="1:7">
      <c r="A41" s="11" t="s">
        <v>1579</v>
      </c>
      <c r="B41" s="4" t="str">
        <f>VLOOKUP(A41,Insumos,2)</f>
        <v>ripio zarandeado 1/3</v>
      </c>
      <c r="C41" s="6" t="str">
        <f>VLOOKUP(A41,Insumos,3)</f>
        <v>m3</v>
      </c>
      <c r="D41" s="56">
        <v>2.4</v>
      </c>
      <c r="E41" s="61">
        <f>VLOOKUP(A41,'IN-10-14'!A42:D916,4)</f>
        <v>157.18044077134985</v>
      </c>
      <c r="F41" s="72">
        <f t="shared" si="4"/>
        <v>377.23305785123961</v>
      </c>
      <c r="G41" s="10"/>
    </row>
    <row r="42" spans="1:7">
      <c r="A42" s="11" t="s">
        <v>1578</v>
      </c>
      <c r="B42" s="4" t="str">
        <f>VLOOKUP(A42,Insumos,2)</f>
        <v>cemento Portland</v>
      </c>
      <c r="C42" s="6" t="str">
        <f>VLOOKUP(A42,Insumos,3)</f>
        <v>kg</v>
      </c>
      <c r="D42" s="56">
        <v>274</v>
      </c>
      <c r="E42" s="61">
        <f>VLOOKUP(A42,'IN-10-14'!A43:D917,4)</f>
        <v>1.7372000000000001</v>
      </c>
      <c r="F42" s="72">
        <f t="shared" si="4"/>
        <v>475.99280000000005</v>
      </c>
      <c r="G42" s="10"/>
    </row>
    <row r="43" spans="1:7">
      <c r="A43" s="11" t="s">
        <v>297</v>
      </c>
      <c r="B43" s="4" t="str">
        <f>VLOOKUP(A43,'IN-10-14'!$A$5:$D$441,2)</f>
        <v>Columna de HºAºVº de 9,5/900/3</v>
      </c>
      <c r="C43" s="4" t="str">
        <f>VLOOKUP(A43,'IN-10-14'!$A$5:$D$441,3)</f>
        <v>u</v>
      </c>
      <c r="D43" s="63">
        <v>1</v>
      </c>
      <c r="E43" s="61">
        <f>VLOOKUP(A43,'IN-10-14'!A44:D918,4)</f>
        <v>16286.47704</v>
      </c>
      <c r="F43" s="72">
        <f t="shared" si="4"/>
        <v>16286.47704</v>
      </c>
      <c r="G43" s="10"/>
    </row>
    <row r="44" spans="1:7">
      <c r="A44" s="246" t="s">
        <v>867</v>
      </c>
      <c r="B44" s="4" t="str">
        <f>VLOOKUP(A44,'IN-10-14'!$A$5:$D$441,2)</f>
        <v>Juego de retensión completo</v>
      </c>
      <c r="C44" s="4" t="str">
        <f>VLOOKUP(A44,'IN-10-14'!$A$5:$D$441,3)</f>
        <v>u</v>
      </c>
      <c r="D44" s="63">
        <v>1.44</v>
      </c>
      <c r="E44" s="61">
        <f>VLOOKUP(A44,'IN-10-14'!A45:D919,4)</f>
        <v>744.55094999999994</v>
      </c>
      <c r="F44" s="72">
        <f t="shared" si="4"/>
        <v>1072.1533679999998</v>
      </c>
      <c r="G44" s="10"/>
    </row>
    <row r="45" spans="1:7">
      <c r="A45" s="246" t="s">
        <v>851</v>
      </c>
      <c r="B45" s="4" t="str">
        <f>VLOOKUP(A45,'IN-10-14'!$A$5:$D$441,2)</f>
        <v>Poste de eucaliptus creosotado 11 m</v>
      </c>
      <c r="C45" s="4" t="str">
        <f>VLOOKUP(A45,'IN-10-14'!$A$5:$D$441,3)</f>
        <v>u</v>
      </c>
      <c r="D45" s="63">
        <v>1</v>
      </c>
      <c r="E45" s="61">
        <f>VLOOKUP(A45,'IN-10-14'!A46:D920,4)</f>
        <v>347.93793202500007</v>
      </c>
      <c r="F45" s="72">
        <f t="shared" si="4"/>
        <v>347.93793202500007</v>
      </c>
      <c r="G45" s="10"/>
    </row>
    <row r="46" spans="1:7">
      <c r="A46" s="246" t="s">
        <v>868</v>
      </c>
      <c r="B46" s="4" t="str">
        <f>VLOOKUP(A46,'IN-10-14'!$A$5:$D$441,2)</f>
        <v>Juego de suspensión completo</v>
      </c>
      <c r="C46" s="4" t="str">
        <f>VLOOKUP(A46,'IN-10-14'!$A$5:$D$441,3)</f>
        <v>u</v>
      </c>
      <c r="D46" s="63">
        <v>1</v>
      </c>
      <c r="E46" s="61">
        <f>VLOOKUP(A46,'IN-10-14'!A47:D921,4)</f>
        <v>1365.4078698000001</v>
      </c>
      <c r="F46" s="72">
        <f t="shared" si="4"/>
        <v>1365.4078698000001</v>
      </c>
      <c r="G46" s="10"/>
    </row>
    <row r="47" spans="1:7">
      <c r="A47" s="246" t="s">
        <v>858</v>
      </c>
      <c r="B47" s="4" t="str">
        <f>VLOOKUP(A47,'IN-10-14'!$A$5:$D$441,2)</f>
        <v>Conductor Cu preensamblado 3x95 + 1x50 m</v>
      </c>
      <c r="C47" s="4" t="str">
        <f>VLOOKUP(A47,'IN-10-14'!$A$5:$D$441,3)</f>
        <v>m</v>
      </c>
      <c r="D47" s="63">
        <v>1</v>
      </c>
      <c r="E47" s="61">
        <f>VLOOKUP(A47,'IN-10-14'!A48:D922,4)</f>
        <v>98.22002024999999</v>
      </c>
      <c r="F47" s="72">
        <f t="shared" si="4"/>
        <v>98.22002024999999</v>
      </c>
      <c r="G47" s="10"/>
    </row>
    <row r="48" spans="1:7">
      <c r="A48" s="246" t="s">
        <v>863</v>
      </c>
      <c r="B48" s="4" t="str">
        <f>VLOOKUP(A48,'IN-10-14'!$A$5:$D$441,2)</f>
        <v>Jabalina tipo Cooperweld 1,50x3/4"</v>
      </c>
      <c r="C48" s="4" t="str">
        <f>VLOOKUP(A48,'IN-10-14'!$A$5:$D$441,3)</f>
        <v>u</v>
      </c>
      <c r="D48" s="63">
        <v>1.5</v>
      </c>
      <c r="E48" s="61">
        <f>VLOOKUP(A48,'IN-10-14'!A49:D923,4)</f>
        <v>164.65315775999997</v>
      </c>
      <c r="F48" s="72">
        <f t="shared" si="4"/>
        <v>246.97973663999994</v>
      </c>
      <c r="G48" s="10"/>
    </row>
    <row r="49" spans="1:7">
      <c r="A49" s="246" t="s">
        <v>856</v>
      </c>
      <c r="B49" s="4" t="str">
        <f>VLOOKUP(A49,'IN-10-14'!$A$5:$D$441,2)</f>
        <v>Conductor desnudo de cobre de 16 mm²</v>
      </c>
      <c r="C49" s="4" t="str">
        <f>VLOOKUP(A49,'IN-10-14'!$A$5:$D$441,3)</f>
        <v>m</v>
      </c>
      <c r="D49" s="63">
        <v>22.091000000000001</v>
      </c>
      <c r="E49" s="61">
        <f>VLOOKUP(A49,'IN-10-14'!A50:D924,4)</f>
        <v>31.126529444999996</v>
      </c>
      <c r="F49" s="72">
        <f t="shared" si="4"/>
        <v>687.6161619694949</v>
      </c>
      <c r="G49" s="10"/>
    </row>
    <row r="50" spans="1:7">
      <c r="A50" s="246" t="s">
        <v>864</v>
      </c>
      <c r="B50" s="4" t="str">
        <f>VLOOKUP(A50,'IN-10-14'!$A$5:$D$441,2)</f>
        <v>Cajas de derivación trifásica RBT</v>
      </c>
      <c r="C50" s="4" t="str">
        <f>VLOOKUP(A50,'IN-10-14'!$A$5:$D$441,3)</f>
        <v>u</v>
      </c>
      <c r="D50" s="63">
        <v>1</v>
      </c>
      <c r="E50" s="61">
        <f>VLOOKUP(A50,'IN-10-14'!A51:D925,4)</f>
        <v>2181.5100570760005</v>
      </c>
      <c r="F50" s="72">
        <f t="shared" si="4"/>
        <v>2181.5100570760005</v>
      </c>
      <c r="G50" s="10"/>
    </row>
    <row r="51" spans="1:7">
      <c r="A51" s="246" t="s">
        <v>860</v>
      </c>
      <c r="B51" s="4" t="str">
        <f>VLOOKUP(A51,'IN-10-14'!$A$5:$D$441,2)</f>
        <v>Conductor prerreunido 4 x 10 mm²</v>
      </c>
      <c r="C51" s="4" t="str">
        <f>VLOOKUP(A51,'IN-10-14'!$A$5:$D$441,3)</f>
        <v>u</v>
      </c>
      <c r="D51" s="63">
        <v>1.05</v>
      </c>
      <c r="E51" s="61">
        <f>VLOOKUP(A51,'IN-10-14'!A52:D926,4)</f>
        <v>81.176277599999992</v>
      </c>
      <c r="F51" s="72">
        <f t="shared" si="4"/>
        <v>85.235091479999994</v>
      </c>
      <c r="G51" s="10"/>
    </row>
    <row r="52" spans="1:7">
      <c r="A52" s="83" t="s">
        <v>347</v>
      </c>
      <c r="B52" s="9"/>
      <c r="C52" s="6"/>
      <c r="D52" s="56"/>
      <c r="E52" s="61"/>
      <c r="F52" s="72"/>
      <c r="G52" s="10"/>
    </row>
    <row r="53" spans="1:7">
      <c r="A53" s="11" t="s">
        <v>1607</v>
      </c>
      <c r="B53" s="4" t="str">
        <f>VLOOKUP(A53,Insumos,2)</f>
        <v>cuadrilla tipo U.G.A.T.S.</v>
      </c>
      <c r="C53" s="6" t="str">
        <f>VLOOKUP(A53,Insumos,3)</f>
        <v>h</v>
      </c>
      <c r="D53" s="56">
        <v>30.32</v>
      </c>
      <c r="E53" s="61">
        <f>VLOOKUP(A53,'IN-10-14'!A54:D928,4)</f>
        <v>74.430000000000007</v>
      </c>
      <c r="F53" s="72">
        <f>(D53*E53)</f>
        <v>2256.7176000000004</v>
      </c>
      <c r="G53" s="10"/>
    </row>
    <row r="54" spans="1:7">
      <c r="A54" s="83" t="s">
        <v>348</v>
      </c>
      <c r="B54" s="9"/>
      <c r="C54" s="6"/>
      <c r="D54" s="56"/>
      <c r="E54" s="61"/>
      <c r="F54" s="72"/>
      <c r="G54" s="10"/>
    </row>
    <row r="55" spans="1:7">
      <c r="A55" s="11" t="s">
        <v>1894</v>
      </c>
      <c r="B55" s="4" t="str">
        <f>VLOOKUP(A55,Insumos,2)</f>
        <v>canasta 3 (retroexcavadora 87 HP)</v>
      </c>
      <c r="C55" s="6" t="str">
        <f>VLOOKUP(A55,Insumos,3)</f>
        <v>h</v>
      </c>
      <c r="D55" s="56">
        <v>2.6040000000000001</v>
      </c>
      <c r="E55" s="61">
        <f>VLOOKUP(A55,'IN-10-14'!A56:D930,4)</f>
        <v>459.57242883996059</v>
      </c>
      <c r="F55" s="72">
        <f>(D55*E55)</f>
        <v>1196.7266046992575</v>
      </c>
      <c r="G55" s="10"/>
    </row>
    <row r="56" spans="1:7" ht="13.5" thickBot="1">
      <c r="A56" s="11"/>
      <c r="B56" s="12"/>
      <c r="C56" s="13"/>
      <c r="D56" s="56"/>
      <c r="E56" s="56"/>
      <c r="F56" s="72"/>
      <c r="G56" s="10"/>
    </row>
    <row r="57" spans="1:7" ht="13.5" thickTop="1">
      <c r="A57" s="76" t="s">
        <v>342</v>
      </c>
      <c r="B57" s="223" t="s">
        <v>291</v>
      </c>
      <c r="C57" s="81" t="str">
        <f>Fecha</f>
        <v>Oct-14</v>
      </c>
      <c r="D57" s="57"/>
      <c r="E57" s="57"/>
      <c r="F57" s="224">
        <f>SUM(F60:F66)</f>
        <v>52407.101144557426</v>
      </c>
      <c r="G57" s="45"/>
    </row>
    <row r="58" spans="1:7" ht="13.5" thickBot="1">
      <c r="A58" s="34" t="s">
        <v>341</v>
      </c>
      <c r="B58" s="35" t="s">
        <v>292</v>
      </c>
      <c r="C58" s="35" t="s">
        <v>340</v>
      </c>
      <c r="D58" s="58" t="s">
        <v>302</v>
      </c>
      <c r="E58" s="59"/>
      <c r="F58" s="73"/>
      <c r="G58" s="47" t="s">
        <v>343</v>
      </c>
    </row>
    <row r="59" spans="1:7" ht="13.5" thickTop="1">
      <c r="A59" s="83" t="s">
        <v>346</v>
      </c>
      <c r="B59" s="9"/>
      <c r="C59" s="10"/>
      <c r="D59" s="56"/>
      <c r="E59" s="56"/>
      <c r="F59" s="72"/>
      <c r="G59" s="10"/>
    </row>
    <row r="60" spans="1:7">
      <c r="A60" s="11" t="s">
        <v>299</v>
      </c>
      <c r="B60" s="4" t="str">
        <f>VLOOKUP(A60,'IN-10-14'!$A$5:$D$441,2)</f>
        <v>Artefacto Strand MB 70 con SAP 250 W</v>
      </c>
      <c r="C60" s="4" t="str">
        <f>VLOOKUP(A60,'IN-10-14'!$A$5:$D$441,3)</f>
        <v>u</v>
      </c>
      <c r="D60" s="56">
        <v>1.409</v>
      </c>
      <c r="E60" s="61">
        <f>VLOOKUP(A60,'IN-10-14'!A61:D935,4)</f>
        <v>2624.2590158399998</v>
      </c>
      <c r="F60" s="72">
        <f>(D60*E60)</f>
        <v>3697.5809533185598</v>
      </c>
      <c r="G60" s="10"/>
    </row>
    <row r="61" spans="1:7">
      <c r="A61" s="246" t="s">
        <v>865</v>
      </c>
      <c r="B61" s="4" t="str">
        <f>VLOOKUP(A61,'IN-10-14'!$A$5:$D$441,2)</f>
        <v>Gabinete estanco PVC 600x600x300 c/cerrad. AºPº</v>
      </c>
      <c r="C61" s="4" t="str">
        <f>VLOOKUP(A61,'IN-10-14'!$A$5:$D$441,3)</f>
        <v>u</v>
      </c>
      <c r="D61" s="63">
        <v>2.2170000000000001</v>
      </c>
      <c r="E61" s="61">
        <f>VLOOKUP(A61,'IN-10-14'!A62:D936,4)</f>
        <v>2341.1993279999997</v>
      </c>
      <c r="F61" s="72">
        <f>(D61*E61)</f>
        <v>5190.4389101759998</v>
      </c>
      <c r="G61" s="10"/>
    </row>
    <row r="62" spans="1:7">
      <c r="A62" s="246" t="s">
        <v>859</v>
      </c>
      <c r="B62" s="4" t="str">
        <f>VLOOKUP(A62,'IN-10-14'!$A$5:$D$441,2)</f>
        <v>Conductor CU forrado 1 x 35 mm²</v>
      </c>
      <c r="C62" s="4" t="str">
        <f>VLOOKUP(A62,'IN-10-14'!$A$5:$D$441,3)</f>
        <v>m</v>
      </c>
      <c r="D62" s="63">
        <v>551.80999999999995</v>
      </c>
      <c r="E62" s="61">
        <f>VLOOKUP(A62,'IN-10-14'!A63:D937,4)</f>
        <v>64.539791249999979</v>
      </c>
      <c r="F62" s="72">
        <f>(D62*E62)</f>
        <v>35613.702209662486</v>
      </c>
      <c r="G62" s="10"/>
    </row>
    <row r="63" spans="1:7">
      <c r="A63" s="83" t="s">
        <v>347</v>
      </c>
      <c r="B63" s="32"/>
      <c r="C63" s="36"/>
      <c r="D63" s="63"/>
      <c r="E63" s="61"/>
      <c r="F63" s="72"/>
      <c r="G63" s="10"/>
    </row>
    <row r="64" spans="1:7">
      <c r="A64" s="11" t="s">
        <v>1607</v>
      </c>
      <c r="B64" s="4" t="str">
        <f>VLOOKUP(A64,Insumos,2)</f>
        <v>cuadrilla tipo U.G.A.T.S.</v>
      </c>
      <c r="C64" s="6" t="str">
        <f>VLOOKUP(A64,Insumos,3)</f>
        <v>h</v>
      </c>
      <c r="D64" s="56">
        <v>97.006</v>
      </c>
      <c r="E64" s="61">
        <f>VLOOKUP(A64,'IN-10-14'!A65:D939,4)</f>
        <v>74.430000000000007</v>
      </c>
      <c r="F64" s="72">
        <f>(D64*E64)</f>
        <v>7220.1565800000008</v>
      </c>
      <c r="G64" s="10"/>
    </row>
    <row r="65" spans="1:8">
      <c r="A65" s="83" t="s">
        <v>348</v>
      </c>
      <c r="B65" s="4"/>
      <c r="C65" s="6"/>
      <c r="D65" s="56"/>
      <c r="E65" s="61"/>
      <c r="F65" s="72"/>
      <c r="G65" s="10"/>
    </row>
    <row r="66" spans="1:8">
      <c r="A66" s="11" t="s">
        <v>1894</v>
      </c>
      <c r="B66" s="4" t="str">
        <f>VLOOKUP(A66,Insumos,2)</f>
        <v>canasta 3 (retroexcavadora 87 HP)</v>
      </c>
      <c r="C66" s="6" t="str">
        <f>VLOOKUP(A66,Insumos,3)</f>
        <v>h</v>
      </c>
      <c r="D66" s="56">
        <v>1.4910000000000001</v>
      </c>
      <c r="E66" s="61">
        <f>VLOOKUP(A66,'IN-10-14'!A67:D941,4)</f>
        <v>459.57242883996059</v>
      </c>
      <c r="F66" s="72">
        <f>(D66*E66)</f>
        <v>685.22249140038127</v>
      </c>
      <c r="G66" s="10"/>
      <c r="H66" s="87">
        <f>(F66*100)/F$57</f>
        <v>1.307499320579274</v>
      </c>
    </row>
    <row r="67" spans="1:8">
      <c r="A67" s="11"/>
      <c r="B67" s="4"/>
      <c r="C67" s="6"/>
      <c r="D67" s="56">
        <v>1.4910000000000001</v>
      </c>
      <c r="E67" s="51"/>
      <c r="F67" s="72"/>
      <c r="G67" s="10"/>
      <c r="H67" s="1">
        <v>2.4769999999999999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A10" sqref="A10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24">
    <tabColor indexed="28"/>
  </sheetPr>
  <dimension ref="A1:J57"/>
  <sheetViews>
    <sheetView showGridLines="0" zoomScale="90" zoomScaleNormal="75" zoomScaleSheetLayoutView="75" workbookViewId="0">
      <selection activeCell="A8" sqref="A8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342</v>
      </c>
      <c r="B2" s="218" t="s">
        <v>197</v>
      </c>
      <c r="C2" s="79" t="str">
        <f>Fecha</f>
        <v>Oct-14</v>
      </c>
      <c r="D2" s="53"/>
      <c r="E2" s="53"/>
      <c r="F2" s="225">
        <f>SUM(F5:F13)</f>
        <v>206.76297448580721</v>
      </c>
      <c r="G2" s="43"/>
    </row>
    <row r="3" spans="1:7" ht="13.5" thickBot="1">
      <c r="A3" s="14" t="s">
        <v>341</v>
      </c>
      <c r="B3" s="14" t="s">
        <v>1745</v>
      </c>
      <c r="C3" s="80" t="s">
        <v>340</v>
      </c>
      <c r="D3" s="54" t="s">
        <v>1746</v>
      </c>
      <c r="E3" s="55"/>
      <c r="F3" s="71"/>
      <c r="G3" s="44" t="s">
        <v>1749</v>
      </c>
    </row>
    <row r="4" spans="1:7" ht="13.5" thickTop="1">
      <c r="A4" s="83" t="s">
        <v>346</v>
      </c>
      <c r="B4" s="9"/>
      <c r="C4" s="10"/>
      <c r="D4" s="56"/>
      <c r="E4" s="56"/>
      <c r="F4" s="72"/>
      <c r="G4" s="10"/>
    </row>
    <row r="5" spans="1:7">
      <c r="A5" s="11" t="s">
        <v>1577</v>
      </c>
      <c r="B5" s="4" t="str">
        <f>VLOOKUP(A5,Insumos,2)</f>
        <v>hierro mejorado de 10 mm.</v>
      </c>
      <c r="C5" s="6" t="str">
        <f>VLOOKUP(A5,Insumos,3)</f>
        <v>kg</v>
      </c>
      <c r="D5" s="56">
        <v>1.4</v>
      </c>
      <c r="E5" s="51">
        <f>VLOOKUP(A5,'IN-10-14'!A6:D880,4)</f>
        <v>10.584654902836721</v>
      </c>
      <c r="F5" s="72">
        <f>+D5*E5</f>
        <v>14.818516863971409</v>
      </c>
      <c r="G5" s="10"/>
    </row>
    <row r="6" spans="1:7">
      <c r="A6" s="11" t="s">
        <v>1578</v>
      </c>
      <c r="B6" s="4" t="str">
        <f>VLOOKUP(A6,Insumos,2)</f>
        <v>cemento Portland</v>
      </c>
      <c r="C6" s="6" t="str">
        <f>VLOOKUP(A6,Insumos,3)</f>
        <v>kg</v>
      </c>
      <c r="D6" s="56">
        <v>36.75</v>
      </c>
      <c r="E6" s="51">
        <f>VLOOKUP(A6,'IN-10-14'!A7:D881,4)</f>
        <v>1.7372000000000001</v>
      </c>
      <c r="F6" s="72">
        <f>+D6*E6</f>
        <v>63.842100000000002</v>
      </c>
      <c r="G6" s="10"/>
    </row>
    <row r="7" spans="1:7">
      <c r="A7" s="11" t="s">
        <v>1579</v>
      </c>
      <c r="B7" s="4" t="str">
        <f>VLOOKUP(A7,Insumos,2)</f>
        <v>ripio zarandeado 1/3</v>
      </c>
      <c r="C7" s="6" t="str">
        <f>VLOOKUP(A7,Insumos,3)</f>
        <v>m3</v>
      </c>
      <c r="D7" s="56">
        <v>7.3999999999999996E-2</v>
      </c>
      <c r="E7" s="51">
        <f>VLOOKUP(A7,'IN-10-14'!A8:D882,4)</f>
        <v>157.18044077134985</v>
      </c>
      <c r="F7" s="72">
        <f>+D7*E7</f>
        <v>11.631352617079889</v>
      </c>
      <c r="G7" s="10"/>
    </row>
    <row r="8" spans="1:7">
      <c r="A8" s="11" t="s">
        <v>1580</v>
      </c>
      <c r="B8" s="4" t="str">
        <f>VLOOKUP(A8,Insumos,2)</f>
        <v>arena gruesa</v>
      </c>
      <c r="C8" s="6" t="str">
        <f>VLOOKUP(A8,Insumos,3)</f>
        <v>m3</v>
      </c>
      <c r="D8" s="56">
        <v>6.3E-2</v>
      </c>
      <c r="E8" s="51">
        <f>VLOOKUP(A8,'IN-10-14'!A9:D883,4)</f>
        <v>184.46464646464645</v>
      </c>
      <c r="F8" s="72">
        <f>+D8*E8</f>
        <v>11.621272727272727</v>
      </c>
      <c r="G8" s="10"/>
    </row>
    <row r="9" spans="1:7">
      <c r="A9" s="83" t="s">
        <v>347</v>
      </c>
      <c r="B9" s="9"/>
      <c r="C9" s="10"/>
      <c r="D9" s="56"/>
      <c r="E9" s="51"/>
      <c r="F9" s="72"/>
      <c r="G9" s="10"/>
    </row>
    <row r="10" spans="1:7">
      <c r="A10" s="11" t="s">
        <v>1575</v>
      </c>
      <c r="B10" s="4" t="str">
        <f>VLOOKUP(A10,Insumos,2)</f>
        <v>cuadrilla tipo UOCRA</v>
      </c>
      <c r="C10" s="6" t="str">
        <f>VLOOKUP(A10,Insumos,3)</f>
        <v>h</v>
      </c>
      <c r="D10" s="56">
        <v>1.1000000000000001</v>
      </c>
      <c r="E10" s="51">
        <f>VLOOKUP(A10,'IN-10-14'!A11:D885,4)</f>
        <v>64.12</v>
      </c>
      <c r="F10" s="72">
        <f>+D10*E10</f>
        <v>70.532000000000011</v>
      </c>
      <c r="G10" s="10"/>
    </row>
    <row r="11" spans="1:7">
      <c r="A11" s="83" t="s">
        <v>348</v>
      </c>
      <c r="B11" s="9"/>
      <c r="C11" s="10"/>
      <c r="D11" s="56"/>
      <c r="E11" s="51"/>
      <c r="F11" s="72"/>
      <c r="G11" s="10"/>
    </row>
    <row r="12" spans="1:7">
      <c r="A12" s="11" t="s">
        <v>1576</v>
      </c>
      <c r="B12" s="4" t="str">
        <f>VLOOKUP(A12,Insumos,2)</f>
        <v>canasta 1 (camión volcador)</v>
      </c>
      <c r="C12" s="6" t="str">
        <f>VLOOKUP(A12,Insumos,3)</f>
        <v>h</v>
      </c>
      <c r="D12" s="56">
        <v>0.02</v>
      </c>
      <c r="E12" s="51">
        <f>VLOOKUP(A12,'IN-10-14'!A13:D887,4)</f>
        <v>557.08467748239605</v>
      </c>
      <c r="F12" s="72">
        <f>+D12*E12</f>
        <v>11.141693549647922</v>
      </c>
      <c r="G12" s="10"/>
    </row>
    <row r="13" spans="1:7">
      <c r="A13" s="11" t="s">
        <v>1581</v>
      </c>
      <c r="B13" s="4" t="str">
        <f>VLOOKUP(A13,Insumos,2)</f>
        <v>canasta 2 (mixer 5m3)</v>
      </c>
      <c r="C13" s="6" t="str">
        <f>VLOOKUP(A13,Insumos,3)</f>
        <v>h</v>
      </c>
      <c r="D13" s="56">
        <v>2.8000000000000001E-2</v>
      </c>
      <c r="E13" s="51">
        <f>VLOOKUP(A13,'IN-10-14'!A14:D888,4)</f>
        <v>827.71566885125844</v>
      </c>
      <c r="F13" s="72">
        <f>+D13*E13</f>
        <v>23.176038727835238</v>
      </c>
      <c r="G13" s="10"/>
    </row>
    <row r="14" spans="1:7" ht="13.5" thickBot="1">
      <c r="A14" s="11"/>
      <c r="B14" s="4"/>
      <c r="C14" s="6"/>
      <c r="D14" s="56"/>
      <c r="E14" s="51"/>
      <c r="F14" s="72"/>
      <c r="G14" s="10"/>
    </row>
    <row r="15" spans="1:7" ht="13.5" thickTop="1">
      <c r="A15" s="74" t="s">
        <v>342</v>
      </c>
      <c r="B15" s="218" t="s">
        <v>199</v>
      </c>
      <c r="C15" s="79" t="str">
        <f>Fecha</f>
        <v>Oct-14</v>
      </c>
      <c r="D15" s="53"/>
      <c r="E15" s="53"/>
      <c r="F15" s="225">
        <f>SUM(F17:F28)</f>
        <v>276.2375545218548</v>
      </c>
      <c r="G15" s="43"/>
    </row>
    <row r="16" spans="1:7" ht="13.5" thickBot="1">
      <c r="A16" s="7" t="s">
        <v>341</v>
      </c>
      <c r="B16" s="14" t="s">
        <v>1745</v>
      </c>
      <c r="C16" s="78" t="s">
        <v>340</v>
      </c>
      <c r="D16" s="49" t="s">
        <v>1848</v>
      </c>
      <c r="E16" s="50"/>
      <c r="F16" s="68"/>
      <c r="G16" s="42" t="s">
        <v>1876</v>
      </c>
    </row>
    <row r="17" spans="1:10" ht="13.5" thickTop="1">
      <c r="A17" s="82" t="s">
        <v>346</v>
      </c>
      <c r="D17" s="51"/>
      <c r="E17" s="51"/>
      <c r="F17" s="69"/>
    </row>
    <row r="18" spans="1:10">
      <c r="A18" s="3" t="s">
        <v>1849</v>
      </c>
      <c r="B18" s="4" t="str">
        <f>VLOOKUP(A18,'IN-10-14'!$A$5:$D$441,2)</f>
        <v>adoquines para pavimento</v>
      </c>
      <c r="C18" s="4" t="str">
        <f>VLOOKUP(A18,'IN-10-14'!$A$5:$D$441,3)</f>
        <v>m2</v>
      </c>
      <c r="D18" s="51">
        <v>1.1000000000000001</v>
      </c>
      <c r="E18" s="51">
        <f>VLOOKUP(A18,'IN-10-14'!A19:D893,4)</f>
        <v>115.70247933884298</v>
      </c>
      <c r="F18" s="69">
        <f>(D18*E18)</f>
        <v>127.27272727272728</v>
      </c>
      <c r="H18" s="87"/>
    </row>
    <row r="19" spans="1:10">
      <c r="A19" s="3" t="s">
        <v>1850</v>
      </c>
      <c r="B19" s="4" t="str">
        <f>VLOOKUP(A19,Insumos,2)</f>
        <v>arena mediana</v>
      </c>
      <c r="C19" s="6" t="str">
        <f>VLOOKUP(A19,Insumos,3)</f>
        <v>m3</v>
      </c>
      <c r="D19" s="51">
        <v>4.4999999999999998E-2</v>
      </c>
      <c r="E19" s="51">
        <f>VLOOKUP(A19,'IN-10-14'!A20:D894,4)</f>
        <v>184.46464646464645</v>
      </c>
      <c r="F19" s="69">
        <f>(D19*E19)</f>
        <v>8.3009090909090908</v>
      </c>
      <c r="H19" s="87"/>
    </row>
    <row r="20" spans="1:10">
      <c r="A20" s="3" t="s">
        <v>1851</v>
      </c>
      <c r="B20" s="4" t="str">
        <f>VLOOKUP(A20,Insumos,2)</f>
        <v>enlame</v>
      </c>
      <c r="C20" s="6" t="str">
        <f>VLOOKUP(A20,Insumos,3)</f>
        <v>m3</v>
      </c>
      <c r="D20" s="51">
        <v>3.5000000000000003E-2</v>
      </c>
      <c r="E20" s="51">
        <f>VLOOKUP(A20,'IN-10-14'!A21:D895,4)</f>
        <v>165</v>
      </c>
      <c r="F20" s="69">
        <f>(D20*E20)</f>
        <v>5.7750000000000004</v>
      </c>
      <c r="H20" s="87"/>
      <c r="I20" s="87"/>
    </row>
    <row r="21" spans="1:10">
      <c r="A21" s="82" t="s">
        <v>347</v>
      </c>
      <c r="D21" s="51"/>
      <c r="E21" s="51"/>
      <c r="F21" s="69"/>
    </row>
    <row r="22" spans="1:10">
      <c r="A22" s="3" t="s">
        <v>1575</v>
      </c>
      <c r="B22" s="4" t="str">
        <f>VLOOKUP(A22,Insumos,2)</f>
        <v>cuadrilla tipo UOCRA</v>
      </c>
      <c r="C22" s="6" t="str">
        <f>VLOOKUP(A22,Insumos,3)</f>
        <v>h</v>
      </c>
      <c r="D22" s="51">
        <f>(0.05+0.009+0.009+0.03)+(0.018+0.018+0.3)+(0.017+0.027+0.027+0.3)</f>
        <v>0.80499999999999994</v>
      </c>
      <c r="E22" s="51">
        <f>VLOOKUP(A22,'IN-10-14'!A23:D897,4)</f>
        <v>64.12</v>
      </c>
      <c r="F22" s="69">
        <f>(D22*E22)</f>
        <v>51.616599999999998</v>
      </c>
      <c r="H22" s="87"/>
      <c r="I22" s="87"/>
    </row>
    <row r="23" spans="1:10">
      <c r="A23" s="82" t="s">
        <v>348</v>
      </c>
      <c r="D23" s="51"/>
      <c r="E23" s="51"/>
      <c r="F23" s="69"/>
    </row>
    <row r="24" spans="1:10">
      <c r="A24" s="3" t="s">
        <v>1753</v>
      </c>
      <c r="B24" s="4" t="str">
        <f>VLOOKUP(A24,Insumos,2)</f>
        <v>motoniveladora</v>
      </c>
      <c r="C24" s="6" t="str">
        <f>VLOOKUP(A24,Insumos,3)</f>
        <v>h</v>
      </c>
      <c r="D24" s="51">
        <v>1.3114580435639995E-2</v>
      </c>
      <c r="E24" s="51">
        <f>VLOOKUP(A24,'IN-10-14'!A25:D899,4)</f>
        <v>680.15752451106016</v>
      </c>
      <c r="F24" s="69">
        <f>(D24*E24)</f>
        <v>8.9199805641060799</v>
      </c>
      <c r="H24" s="87"/>
      <c r="J24" s="87"/>
    </row>
    <row r="25" spans="1:10">
      <c r="A25" s="3" t="s">
        <v>1852</v>
      </c>
      <c r="B25" s="4" t="str">
        <f>VLOOKUP(A25,Insumos,2)</f>
        <v>retroexcavadora 87 H.P.</v>
      </c>
      <c r="C25" s="6" t="str">
        <f>VLOOKUP(A25,Insumos,3)</f>
        <v>h</v>
      </c>
      <c r="D25" s="51">
        <v>6.4407161695031995E-2</v>
      </c>
      <c r="E25" s="51">
        <f>VLOOKUP(A25,'IN-10-14'!A26:D900,4)</f>
        <v>459.57242883996059</v>
      </c>
      <c r="F25" s="69">
        <f>(D25*E25)</f>
        <v>29.599755734873927</v>
      </c>
      <c r="H25" s="87"/>
      <c r="J25" s="87"/>
    </row>
    <row r="26" spans="1:10">
      <c r="A26" s="3" t="s">
        <v>1953</v>
      </c>
      <c r="B26" s="4" t="str">
        <f>VLOOKUP(A26,Insumos,2)</f>
        <v>camión volcador 140 H.P.</v>
      </c>
      <c r="C26" s="6" t="str">
        <f>VLOOKUP(A26,Insumos,3)</f>
        <v>h</v>
      </c>
      <c r="D26" s="51">
        <v>6.4115726574239987E-2</v>
      </c>
      <c r="E26" s="51">
        <f>VLOOKUP(A26,'IN-10-14'!A27:D901,4)</f>
        <v>557.08467748239605</v>
      </c>
      <c r="F26" s="69">
        <f>(D26*E26)</f>
        <v>35.717888860159974</v>
      </c>
      <c r="H26" s="87"/>
      <c r="J26" s="87"/>
    </row>
    <row r="27" spans="1:10">
      <c r="A27" s="3" t="s">
        <v>1957</v>
      </c>
      <c r="B27" s="4" t="str">
        <f>VLOOKUP(A27,Insumos,2)</f>
        <v>rodillo neumático autopropulsado 70 HP</v>
      </c>
      <c r="C27" s="6" t="str">
        <f>VLOOKUP(A27,Insumos,3)</f>
        <v>h</v>
      </c>
      <c r="D27" s="51">
        <v>1.1365969710888E-2</v>
      </c>
      <c r="E27" s="51">
        <f>VLOOKUP(A27,'IN-10-14'!A28:D902,4)</f>
        <v>338.53941953696375</v>
      </c>
      <c r="F27" s="69">
        <f>(D27*E27)</f>
        <v>3.847828788398735</v>
      </c>
      <c r="H27" s="87"/>
      <c r="J27" s="87"/>
    </row>
    <row r="28" spans="1:10">
      <c r="A28" s="3" t="s">
        <v>1754</v>
      </c>
      <c r="B28" s="4" t="str">
        <f>VLOOKUP(A28,Insumos,2)</f>
        <v>vibrocompactador autopropulsado 120 HP</v>
      </c>
      <c r="C28" s="6" t="str">
        <f>VLOOKUP(A28,Insumos,3)</f>
        <v>h</v>
      </c>
      <c r="D28" s="51">
        <v>1.1365969710888E-2</v>
      </c>
      <c r="E28" s="51">
        <f>VLOOKUP(A28,'IN-10-14'!A29:D903,4)</f>
        <v>456.35034604314671</v>
      </c>
      <c r="F28" s="69">
        <f>(D28*E28)</f>
        <v>5.186864210679663</v>
      </c>
      <c r="H28" s="87"/>
      <c r="I28" s="87"/>
      <c r="J28" s="87"/>
    </row>
    <row r="29" spans="1:10" ht="13.5" thickBot="1"/>
    <row r="30" spans="1:10" ht="13.5" thickTop="1">
      <c r="A30" s="74" t="s">
        <v>342</v>
      </c>
      <c r="B30" s="218" t="s">
        <v>198</v>
      </c>
      <c r="C30" s="79" t="str">
        <f>Fecha</f>
        <v>Oct-14</v>
      </c>
      <c r="D30" s="53"/>
      <c r="E30" s="53"/>
      <c r="F30" s="225">
        <f>SUM(F33:F46)</f>
        <v>246.39157893143903</v>
      </c>
      <c r="G30" s="43"/>
    </row>
    <row r="31" spans="1:10" ht="13.5" thickBot="1">
      <c r="A31" s="7" t="s">
        <v>341</v>
      </c>
      <c r="B31" s="7" t="s">
        <v>1745</v>
      </c>
      <c r="C31" s="78" t="s">
        <v>340</v>
      </c>
      <c r="D31" s="49" t="s">
        <v>196</v>
      </c>
      <c r="E31" s="50"/>
      <c r="F31" s="68"/>
      <c r="G31" s="42" t="s">
        <v>1876</v>
      </c>
    </row>
    <row r="32" spans="1:10" ht="13.5" thickTop="1">
      <c r="D32" s="51"/>
      <c r="E32" s="51"/>
      <c r="F32" s="69"/>
    </row>
    <row r="33" spans="1:9">
      <c r="A33" s="82" t="s">
        <v>346</v>
      </c>
      <c r="D33" s="51"/>
      <c r="E33" s="51"/>
      <c r="F33" s="69"/>
    </row>
    <row r="34" spans="1:9">
      <c r="A34" s="11" t="s">
        <v>1578</v>
      </c>
      <c r="B34" s="4" t="str">
        <f>VLOOKUP(A34,Insumos,2)</f>
        <v>cemento Portland</v>
      </c>
      <c r="C34" s="6" t="str">
        <f>VLOOKUP(A34,Insumos,3)</f>
        <v>kg</v>
      </c>
      <c r="D34" s="56">
        <f>350*0.15</f>
        <v>52.5</v>
      </c>
      <c r="E34" s="51">
        <f>VLOOKUP(A34,'IN-10-14'!A35:D909,4)</f>
        <v>1.7372000000000001</v>
      </c>
      <c r="F34" s="72">
        <f>(D34*E34)</f>
        <v>91.203000000000003</v>
      </c>
      <c r="G34" s="10"/>
      <c r="H34" s="87"/>
    </row>
    <row r="35" spans="1:9">
      <c r="A35" s="11" t="s">
        <v>1579</v>
      </c>
      <c r="B35" s="4" t="str">
        <f>VLOOKUP(A35,Insumos,2)</f>
        <v>ripio zarandeado 1/3</v>
      </c>
      <c r="C35" s="6" t="str">
        <f>VLOOKUP(A35,Insumos,3)</f>
        <v>m3</v>
      </c>
      <c r="D35" s="56">
        <f>0.7*0.15</f>
        <v>0.105</v>
      </c>
      <c r="E35" s="51">
        <f>VLOOKUP(A35,'IN-10-14'!A36:D910,4)</f>
        <v>157.18044077134985</v>
      </c>
      <c r="F35" s="72">
        <f>(D35*E35)</f>
        <v>16.503946280991734</v>
      </c>
      <c r="G35" s="10"/>
      <c r="H35" s="87"/>
    </row>
    <row r="36" spans="1:9">
      <c r="A36" s="11" t="s">
        <v>1580</v>
      </c>
      <c r="B36" s="4" t="str">
        <f>VLOOKUP(A36,Insumos,2)</f>
        <v>arena gruesa</v>
      </c>
      <c r="C36" s="6" t="str">
        <f>VLOOKUP(A36,Insumos,3)</f>
        <v>m3</v>
      </c>
      <c r="D36" s="56">
        <f>0.6*0.15</f>
        <v>0.09</v>
      </c>
      <c r="E36" s="51">
        <f>VLOOKUP(A36,'IN-10-14'!A37:D911,4)</f>
        <v>184.46464646464645</v>
      </c>
      <c r="F36" s="72">
        <f>(D36*E36)</f>
        <v>16.601818181818182</v>
      </c>
      <c r="G36" s="10"/>
      <c r="H36" s="87"/>
    </row>
    <row r="37" spans="1:9">
      <c r="A37" s="11" t="s">
        <v>1577</v>
      </c>
      <c r="B37" s="4" t="str">
        <f>VLOOKUP(A37,Insumos,2)</f>
        <v>hierro mejorado de 10 mm.</v>
      </c>
      <c r="C37" s="6" t="str">
        <f>VLOOKUP(A37,Insumos,3)</f>
        <v>kg</v>
      </c>
      <c r="D37" s="56">
        <v>0.9</v>
      </c>
      <c r="E37" s="51">
        <f>VLOOKUP(A37,'IN-10-14'!A7:D912,4)</f>
        <v>10.584654902836721</v>
      </c>
      <c r="F37" s="72">
        <f>(D37*E37)</f>
        <v>9.52618941255305</v>
      </c>
      <c r="H37" s="87"/>
    </row>
    <row r="38" spans="1:9">
      <c r="A38" s="2" t="s">
        <v>42</v>
      </c>
      <c r="B38" s="4" t="str">
        <f>VLOOKUP(A38,Insumos,2)</f>
        <v>asfalto plástico p/juntas de pavimento</v>
      </c>
      <c r="C38" s="6" t="str">
        <f>VLOOKUP(A38,Insumos,3)</f>
        <v>kg</v>
      </c>
      <c r="D38" s="51">
        <v>0.96</v>
      </c>
      <c r="E38" s="51">
        <f>VLOOKUP(A38,'IN-10-14'!A35:D913,4)</f>
        <v>13.636500000000002</v>
      </c>
      <c r="F38" s="72">
        <f>(D38*E38)</f>
        <v>13.091040000000001</v>
      </c>
      <c r="H38" s="87"/>
      <c r="I38" s="87"/>
    </row>
    <row r="39" spans="1:9">
      <c r="A39" s="82" t="s">
        <v>347</v>
      </c>
      <c r="D39" s="51"/>
      <c r="E39" s="51"/>
      <c r="F39" s="69"/>
      <c r="H39" s="87"/>
    </row>
    <row r="40" spans="1:9">
      <c r="A40" s="3" t="s">
        <v>1575</v>
      </c>
      <c r="B40" s="4" t="str">
        <f>VLOOKUP(A40,Insumos,2)</f>
        <v>cuadrilla tipo UOCRA</v>
      </c>
      <c r="C40" s="6" t="str">
        <f>VLOOKUP(A40,Insumos,3)</f>
        <v>h</v>
      </c>
      <c r="D40" s="51">
        <v>0.66</v>
      </c>
      <c r="E40" s="51">
        <f>VLOOKUP(A40,'IN-10-14'!A41:D915,4)</f>
        <v>64.12</v>
      </c>
      <c r="F40" s="69">
        <f>(D40*E40)</f>
        <v>42.319200000000002</v>
      </c>
      <c r="H40" s="87"/>
      <c r="I40" s="87"/>
    </row>
    <row r="41" spans="1:9">
      <c r="A41" s="82" t="s">
        <v>348</v>
      </c>
      <c r="D41" s="51"/>
      <c r="E41" s="51"/>
      <c r="F41" s="69"/>
      <c r="H41" s="87"/>
    </row>
    <row r="42" spans="1:9">
      <c r="A42" s="3" t="s">
        <v>1753</v>
      </c>
      <c r="B42" s="4" t="str">
        <f>VLOOKUP(A42,Insumos,2)</f>
        <v>motoniveladora</v>
      </c>
      <c r="C42" s="6" t="str">
        <f>VLOOKUP(A42,Insumos,3)</f>
        <v>h</v>
      </c>
      <c r="D42" s="51">
        <v>8.9999999999999993E-3</v>
      </c>
      <c r="E42" s="51">
        <f>VLOOKUP(A42,'IN-10-14'!A43:D917,4)</f>
        <v>680.15752451106016</v>
      </c>
      <c r="F42" s="69">
        <f>(D42*E42)</f>
        <v>6.121417720599541</v>
      </c>
      <c r="H42" s="87"/>
    </row>
    <row r="43" spans="1:9">
      <c r="A43" s="3" t="s">
        <v>1852</v>
      </c>
      <c r="B43" s="4" t="str">
        <f>VLOOKUP(A43,Insumos,2)</f>
        <v>retroexcavadora 87 H.P.</v>
      </c>
      <c r="C43" s="6" t="str">
        <f>VLOOKUP(A43,Insumos,3)</f>
        <v>h</v>
      </c>
      <c r="D43" s="51">
        <v>4.4200000000000003E-2</v>
      </c>
      <c r="E43" s="51">
        <f>VLOOKUP(A43,'IN-10-14'!A44:D918,4)</f>
        <v>459.57242883996059</v>
      </c>
      <c r="F43" s="69">
        <f>(D43*E43)</f>
        <v>20.31310135472626</v>
      </c>
      <c r="H43" s="87"/>
    </row>
    <row r="44" spans="1:9">
      <c r="A44" s="3" t="s">
        <v>1953</v>
      </c>
      <c r="B44" s="4" t="str">
        <f>VLOOKUP(A44,Insumos,2)</f>
        <v>camión volcador 140 H.P.</v>
      </c>
      <c r="C44" s="6" t="str">
        <f>VLOOKUP(A44,Insumos,3)</f>
        <v>h</v>
      </c>
      <c r="D44" s="51">
        <v>4.3999999999999997E-2</v>
      </c>
      <c r="E44" s="51">
        <f>VLOOKUP(A44,'IN-10-14'!A45:D919,4)</f>
        <v>557.08467748239605</v>
      </c>
      <c r="F44" s="69">
        <f>(D44*E44)</f>
        <v>24.511725809225425</v>
      </c>
      <c r="H44" s="87"/>
    </row>
    <row r="45" spans="1:9">
      <c r="A45" s="3" t="s">
        <v>1957</v>
      </c>
      <c r="B45" s="4" t="str">
        <f>VLOOKUP(A45,Insumos,2)</f>
        <v>rodillo neumático autopropulsado 70 HP</v>
      </c>
      <c r="C45" s="6" t="str">
        <f>VLOOKUP(A45,Insumos,3)</f>
        <v>h</v>
      </c>
      <c r="D45" s="51">
        <v>7.8000000000000005E-3</v>
      </c>
      <c r="E45" s="51">
        <f>VLOOKUP(A45,'IN-10-14'!A46:D920,4)</f>
        <v>338.53941953696375</v>
      </c>
      <c r="F45" s="69">
        <f>(D45*E45)</f>
        <v>2.6406074723883175</v>
      </c>
      <c r="H45" s="87"/>
    </row>
    <row r="46" spans="1:9">
      <c r="A46" s="3" t="s">
        <v>1754</v>
      </c>
      <c r="B46" s="4" t="str">
        <f>VLOOKUP(A46,Insumos,2)</f>
        <v>vibrocompactador autopropulsado 120 HP</v>
      </c>
      <c r="C46" s="6" t="str">
        <f>VLOOKUP(A46,Insumos,3)</f>
        <v>h</v>
      </c>
      <c r="D46" s="51">
        <v>7.8000000000000005E-3</v>
      </c>
      <c r="E46" s="51">
        <f>VLOOKUP(A46,'IN-10-14'!A47:D921,4)</f>
        <v>456.35034604314671</v>
      </c>
      <c r="F46" s="69">
        <f>(D46*E46)</f>
        <v>3.5595326991365446</v>
      </c>
      <c r="H46" s="87"/>
      <c r="I46" s="87"/>
    </row>
    <row r="47" spans="1:9" ht="13.5" thickBot="1">
      <c r="H47" s="87"/>
    </row>
    <row r="48" spans="1:9" ht="13.5" thickTop="1">
      <c r="A48" s="74" t="s">
        <v>342</v>
      </c>
      <c r="B48" s="218" t="s">
        <v>200</v>
      </c>
      <c r="C48" s="79" t="str">
        <f>Fecha</f>
        <v>Oct-14</v>
      </c>
      <c r="D48" s="53"/>
      <c r="E48" s="53"/>
      <c r="F48" s="225">
        <f>SUM(F51:F57)</f>
        <v>72.40317118007934</v>
      </c>
      <c r="G48" s="43"/>
    </row>
    <row r="49" spans="1:7" ht="13.5" thickBot="1">
      <c r="A49" s="7" t="s">
        <v>341</v>
      </c>
      <c r="B49" s="7" t="s">
        <v>1745</v>
      </c>
      <c r="C49" s="78" t="s">
        <v>340</v>
      </c>
      <c r="D49" s="49" t="s">
        <v>195</v>
      </c>
      <c r="E49" s="50"/>
      <c r="F49" s="68"/>
      <c r="G49" s="42" t="s">
        <v>1876</v>
      </c>
    </row>
    <row r="50" spans="1:7" ht="13.5" thickTop="1">
      <c r="D50" s="51"/>
      <c r="E50" s="51"/>
      <c r="F50" s="69"/>
    </row>
    <row r="51" spans="1:7">
      <c r="A51" s="82" t="s">
        <v>346</v>
      </c>
      <c r="D51" s="51"/>
      <c r="E51" s="51"/>
      <c r="F51" s="69"/>
    </row>
    <row r="52" spans="1:7">
      <c r="A52" s="3" t="s">
        <v>1590</v>
      </c>
      <c r="B52" s="4" t="str">
        <f>VLOOKUP(A52,Insumos,2)</f>
        <v>ripiosa</v>
      </c>
      <c r="C52" s="6" t="str">
        <f>VLOOKUP(A52,Insumos,3)</f>
        <v>m3</v>
      </c>
      <c r="D52" s="51">
        <v>0.13</v>
      </c>
      <c r="E52" s="51">
        <f>VLOOKUP(A52,'IN-10-14'!A45:D927,4)</f>
        <v>174.5</v>
      </c>
      <c r="F52" s="69">
        <f>(D52*E52)</f>
        <v>22.685000000000002</v>
      </c>
    </row>
    <row r="53" spans="1:7">
      <c r="A53" s="82" t="s">
        <v>347</v>
      </c>
      <c r="D53" s="51"/>
      <c r="E53" s="51"/>
      <c r="F53" s="69"/>
    </row>
    <row r="54" spans="1:7">
      <c r="A54" s="3" t="s">
        <v>1575</v>
      </c>
      <c r="B54" s="4" t="str">
        <f>VLOOKUP(A54,Insumos,2)</f>
        <v>cuadrilla tipo UOCRA</v>
      </c>
      <c r="C54" s="6" t="str">
        <f>VLOOKUP(A54,Insumos,3)</f>
        <v>h</v>
      </c>
      <c r="D54" s="51">
        <f>(0.05+0.009+0.009+0.03)+(0.018+0.018+0.3)+(0.017+0.027+0.027+0.3)/4</f>
        <v>0.52674999999999994</v>
      </c>
      <c r="E54" s="51">
        <f>VLOOKUP(A54,'IN-10-14'!A55:D929,4)</f>
        <v>64.12</v>
      </c>
      <c r="F54" s="69">
        <f>(D54*E54)</f>
        <v>33.775210000000001</v>
      </c>
    </row>
    <row r="55" spans="1:7">
      <c r="A55" s="82" t="s">
        <v>348</v>
      </c>
      <c r="D55" s="51"/>
      <c r="E55" s="51"/>
      <c r="F55" s="69"/>
    </row>
    <row r="56" spans="1:7">
      <c r="A56" s="3" t="s">
        <v>1753</v>
      </c>
      <c r="B56" s="4" t="str">
        <f>VLOOKUP(A56,Insumos,2)</f>
        <v>motoniveladora</v>
      </c>
      <c r="C56" s="6" t="str">
        <f>VLOOKUP(A56,Insumos,3)</f>
        <v>h</v>
      </c>
      <c r="D56" s="51">
        <f>0.0312/5</f>
        <v>6.2399999999999999E-3</v>
      </c>
      <c r="E56" s="51">
        <f>VLOOKUP(A56,'IN-10-14'!A57:D931,4)</f>
        <v>680.15752451106016</v>
      </c>
      <c r="F56" s="69">
        <f>(D56*E56)</f>
        <v>4.2441829529490152</v>
      </c>
    </row>
    <row r="57" spans="1:7">
      <c r="A57" s="3" t="s">
        <v>1953</v>
      </c>
      <c r="B57" s="4" t="str">
        <f>VLOOKUP(A57,Insumos,2)</f>
        <v>camión volcador 140 H.P.</v>
      </c>
      <c r="C57" s="6" t="str">
        <f>VLOOKUP(A57,Insumos,3)</f>
        <v>h</v>
      </c>
      <c r="D57" s="51">
        <v>2.1000000000000001E-2</v>
      </c>
      <c r="E57" s="51">
        <f>VLOOKUP(A57,'IN-10-14'!A58:D932,4)</f>
        <v>557.08467748239605</v>
      </c>
      <c r="F57" s="69">
        <f>(D57*E57)</f>
        <v>11.698778227130317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F18" sqref="F18"/>
      <pageMargins left="0.78740157480314965" right="0.78740157480314965" top="1.1811023622047245" bottom="0.98425196850393704" header="0" footer="0"/>
      <pageSetup paperSize="5" scale="90" orientation="landscape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</sheetPr>
  <dimension ref="A1:Q93"/>
  <sheetViews>
    <sheetView workbookViewId="0">
      <selection activeCell="Q28" sqref="Q28"/>
    </sheetView>
  </sheetViews>
  <sheetFormatPr baseColWidth="10" defaultRowHeight="15"/>
  <cols>
    <col min="1" max="1" width="7" customWidth="1"/>
    <col min="2" max="2" width="14.6640625" hidden="1" customWidth="1"/>
    <col min="3" max="3" width="9.33203125" hidden="1" customWidth="1"/>
    <col min="4" max="4" width="8.5546875" hidden="1" customWidth="1"/>
    <col min="5" max="5" width="10.109375" hidden="1" customWidth="1"/>
    <col min="6" max="6" width="10.33203125" hidden="1" customWidth="1"/>
    <col min="7" max="7" width="10.5546875" hidden="1" customWidth="1"/>
    <col min="8" max="8" width="9.6640625" hidden="1" customWidth="1"/>
    <col min="9" max="9" width="10.88671875" hidden="1" customWidth="1"/>
    <col min="10" max="10" width="9.77734375" hidden="1" customWidth="1"/>
    <col min="11" max="12" width="11.21875" hidden="1" customWidth="1"/>
    <col min="13" max="13" width="9.33203125" bestFit="1" customWidth="1"/>
    <col min="16" max="16" width="10.5546875" style="95" customWidth="1"/>
    <col min="17" max="17" width="9.77734375" customWidth="1"/>
  </cols>
  <sheetData>
    <row r="1" spans="1:17">
      <c r="A1" s="194" t="s">
        <v>1151</v>
      </c>
      <c r="B1" s="195"/>
      <c r="C1" s="194"/>
      <c r="D1" s="194"/>
      <c r="E1" s="196" t="str">
        <f>Fecha</f>
        <v>Oct-14</v>
      </c>
      <c r="F1" s="194"/>
      <c r="G1" s="194"/>
      <c r="H1" s="194"/>
      <c r="I1" s="194"/>
      <c r="J1" s="194"/>
      <c r="K1" s="194"/>
      <c r="L1" s="194"/>
      <c r="M1" s="197"/>
      <c r="N1" s="172"/>
      <c r="O1" s="172"/>
      <c r="P1" s="174" t="str">
        <f>+Fecha</f>
        <v>Oct-14</v>
      </c>
    </row>
    <row r="2" spans="1:17" hidden="1">
      <c r="A2" s="4" t="s">
        <v>1156</v>
      </c>
      <c r="B2" s="4" t="str">
        <f>VLOOKUP(A2,Insumos,2)</f>
        <v>equipo acoplado p/camion 1218-42</v>
      </c>
      <c r="C2" s="101">
        <f>VLOOKUP(A2,Insumos,4)</f>
        <v>95055.792401320214</v>
      </c>
      <c r="D2" s="4" t="s">
        <v>1157</v>
      </c>
      <c r="E2" s="4" t="str">
        <f>VLOOKUP(D2,Insumos,2)</f>
        <v>equipo acoplado p/camion 1620-45</v>
      </c>
      <c r="G2" s="101">
        <f>VLOOKUP(D2,Insumos,4)</f>
        <v>95224.628341299103</v>
      </c>
      <c r="M2" s="94"/>
    </row>
    <row r="3" spans="1:17" hidden="1">
      <c r="A3" s="4" t="s">
        <v>1142</v>
      </c>
      <c r="B3" s="4" t="str">
        <f>VLOOKUP(A3,Insumos,2)</f>
        <v>camión M. Benz 1218-42</v>
      </c>
      <c r="C3" s="101">
        <f>VLOOKUP(A3,Insumos,4)</f>
        <v>645094.66631399991</v>
      </c>
      <c r="D3" s="4" t="s">
        <v>1149</v>
      </c>
      <c r="E3" s="4" t="str">
        <f>VLOOKUP(D3,Insumos,2)</f>
        <v>chofer</v>
      </c>
      <c r="G3" s="101">
        <f>VLOOKUP(D3,Insumos,4)</f>
        <v>81.94</v>
      </c>
      <c r="H3" s="90" t="s">
        <v>1144</v>
      </c>
      <c r="I3" s="4" t="str">
        <f>VLOOKUP(H3,Insumos,2)</f>
        <v>cubierta 900x20 c/tacos</v>
      </c>
      <c r="K3" s="102">
        <f>VLOOKUP(H3,Insumos,4)</f>
        <v>4870</v>
      </c>
      <c r="M3" s="94"/>
    </row>
    <row r="4" spans="1:17" hidden="1">
      <c r="A4" s="4" t="s">
        <v>1143</v>
      </c>
      <c r="B4" s="4" t="str">
        <f>VLOOKUP(A4,Insumos,2)</f>
        <v>camión M. Benz 1620-45</v>
      </c>
      <c r="C4" s="101">
        <f>VLOOKUP(A4,Insumos,4)</f>
        <v>766335.06738642009</v>
      </c>
      <c r="D4" t="s">
        <v>1147</v>
      </c>
      <c r="E4" s="4" t="str">
        <f>VLOOKUP(D4,Insumos,2)</f>
        <v>seguro 1218-42($/año)</v>
      </c>
      <c r="G4" s="102">
        <f>VLOOKUP(D4,Insumos,4)</f>
        <v>12580.964707000001</v>
      </c>
      <c r="H4" s="90" t="s">
        <v>1145</v>
      </c>
      <c r="I4" s="4" t="str">
        <f>VLOOKUP(H4,Insumos,2)</f>
        <v>cubierta 1000x20 c/tacos</v>
      </c>
      <c r="K4" s="102">
        <f>VLOOKUP(H4,Insumos,4)</f>
        <v>5622.0165289256202</v>
      </c>
      <c r="M4" s="94"/>
    </row>
    <row r="5" spans="1:17" hidden="1">
      <c r="A5" s="4" t="s">
        <v>1950</v>
      </c>
      <c r="B5" s="4" t="str">
        <f>VLOOKUP(A5,Insumos,2)</f>
        <v>gasoil</v>
      </c>
      <c r="C5" s="101">
        <f>VLOOKUP(A5,Insumos,4)</f>
        <v>9.5867768595041323</v>
      </c>
      <c r="D5" t="s">
        <v>1148</v>
      </c>
      <c r="E5" s="4" t="str">
        <f>VLOOKUP(D5,Insumos,2)</f>
        <v>seguro 1620-45($/año)</v>
      </c>
      <c r="G5" s="102">
        <f>VLOOKUP(D5,Insumos,4)</f>
        <v>14175.309600000001</v>
      </c>
      <c r="H5" s="90" t="s">
        <v>1146</v>
      </c>
      <c r="I5" s="4" t="str">
        <f>VLOOKUP(H5,Insumos,2)</f>
        <v>cubierta 1100x20 c/tacos</v>
      </c>
      <c r="K5" s="102">
        <f>VLOOKUP(H5,Insumos,4)</f>
        <v>6454.9035812672182</v>
      </c>
      <c r="M5" s="94"/>
    </row>
    <row r="6" spans="1:17" ht="9.75" customHeight="1">
      <c r="B6" s="93"/>
      <c r="M6" s="94"/>
    </row>
    <row r="7" spans="1:17" ht="15" customHeight="1">
      <c r="A7" s="95" t="s">
        <v>1140</v>
      </c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7" t="s">
        <v>1141</v>
      </c>
      <c r="P7" s="95" t="s">
        <v>1140</v>
      </c>
      <c r="Q7" t="s">
        <v>1141</v>
      </c>
    </row>
    <row r="8" spans="1:17">
      <c r="A8" s="98">
        <v>10</v>
      </c>
      <c r="B8" s="99">
        <f>+A8/25</f>
        <v>0.4</v>
      </c>
      <c r="C8" s="100">
        <v>2.5</v>
      </c>
      <c r="D8" s="99">
        <f>+B8+C8</f>
        <v>2.9</v>
      </c>
      <c r="E8" s="170">
        <f>+(C$3+C$2)*0.9*D8/10000</f>
        <v>193.17926972469854</v>
      </c>
      <c r="F8" s="170">
        <f>(C$3+G$2)*0.07*D8/4000</f>
        <v>37.57120420375643</v>
      </c>
      <c r="G8" s="170">
        <f>+G$3*D8</f>
        <v>237.62599999999998</v>
      </c>
      <c r="H8" s="170">
        <f>+G$4/120/8*D8</f>
        <v>38.004997552395835</v>
      </c>
      <c r="I8" s="170">
        <f>+B8*E8/2/D8</f>
        <v>13.322708256875764</v>
      </c>
      <c r="J8" s="170">
        <f>+K$3*2*6/40000*A8</f>
        <v>14.610000000000001</v>
      </c>
      <c r="K8" s="170">
        <f>0.12*145*C$5*1.3*B8</f>
        <v>86.741157024793381</v>
      </c>
      <c r="L8" s="170">
        <f>+E8+F8+G8+H8+I8+J8+K8</f>
        <v>621.05533676252003</v>
      </c>
      <c r="M8" s="171">
        <f t="shared" ref="M8:M16" si="0">+L8/10/A8</f>
        <v>6.2105533676252005</v>
      </c>
      <c r="P8" s="98">
        <v>180</v>
      </c>
      <c r="Q8" s="171">
        <f>M29</f>
        <v>1.2801158854659584</v>
      </c>
    </row>
    <row r="9" spans="1:17">
      <c r="A9" s="98">
        <v>15</v>
      </c>
      <c r="B9" s="99">
        <f t="shared" ref="B9:B49" si="1">+A9/25</f>
        <v>0.6</v>
      </c>
      <c r="C9" s="100">
        <v>2.5</v>
      </c>
      <c r="D9" s="99">
        <f t="shared" ref="D9:D49" si="2">+B9+C9</f>
        <v>3.1</v>
      </c>
      <c r="E9" s="170">
        <f t="shared" ref="E9:E15" si="3">+(C$3+C$2)*0.9*D9/10000</f>
        <v>206.50197798157436</v>
      </c>
      <c r="F9" s="170">
        <f t="shared" ref="F9:F15" si="4">(C$3+G$2)*0.07*D9/4000</f>
        <v>40.162321735049979</v>
      </c>
      <c r="G9" s="170">
        <f>+G$3*D9</f>
        <v>254.01400000000001</v>
      </c>
      <c r="H9" s="170">
        <f t="shared" ref="H9:H16" si="5">+G$4/120/8*D9</f>
        <v>40.626031866354175</v>
      </c>
      <c r="I9" s="170">
        <f t="shared" ref="I9:I49" si="6">+B9*E9/2/D9</f>
        <v>19.984062385313646</v>
      </c>
      <c r="J9" s="170">
        <f t="shared" ref="J9:J16" si="7">+K$3*2*6/40000*A9</f>
        <v>21.915000000000003</v>
      </c>
      <c r="K9" s="170">
        <f t="shared" ref="K9:K16" si="8">0.12*145*C$5*1.3*B9</f>
        <v>130.11173553719007</v>
      </c>
      <c r="L9" s="170">
        <f t="shared" ref="L9:L49" si="9">+E9+F9+G9+H9+I9+J9+K9</f>
        <v>713.31512950548222</v>
      </c>
      <c r="M9" s="171">
        <f t="shared" si="0"/>
        <v>4.7554341967032148</v>
      </c>
      <c r="P9" s="98">
        <v>190</v>
      </c>
      <c r="Q9" s="171">
        <f t="shared" ref="Q9:Q27" si="10">M30</f>
        <v>1.2669029177583553</v>
      </c>
    </row>
    <row r="10" spans="1:17">
      <c r="A10" s="98">
        <v>20</v>
      </c>
      <c r="B10" s="99">
        <f t="shared" si="1"/>
        <v>0.8</v>
      </c>
      <c r="C10" s="100">
        <v>2.5</v>
      </c>
      <c r="D10" s="99">
        <f t="shared" si="2"/>
        <v>3.3</v>
      </c>
      <c r="E10" s="170">
        <f t="shared" si="3"/>
        <v>219.82468623845008</v>
      </c>
      <c r="F10" s="170">
        <f t="shared" si="4"/>
        <v>42.75343926634352</v>
      </c>
      <c r="G10" s="170">
        <f t="shared" ref="G10:G49" si="11">+G$3*D10</f>
        <v>270.40199999999999</v>
      </c>
      <c r="H10" s="170">
        <f t="shared" si="5"/>
        <v>43.247066180312501</v>
      </c>
      <c r="I10" s="170">
        <f t="shared" si="6"/>
        <v>26.645416513751528</v>
      </c>
      <c r="J10" s="170">
        <f t="shared" si="7"/>
        <v>29.220000000000002</v>
      </c>
      <c r="K10" s="170">
        <f t="shared" si="8"/>
        <v>173.48231404958676</v>
      </c>
      <c r="L10" s="170">
        <f t="shared" si="9"/>
        <v>805.57492224844441</v>
      </c>
      <c r="M10" s="171">
        <f t="shared" si="0"/>
        <v>4.0278746112422219</v>
      </c>
      <c r="P10" s="98">
        <v>200</v>
      </c>
      <c r="Q10" s="171">
        <f t="shared" si="10"/>
        <v>1.2550112468215122</v>
      </c>
    </row>
    <row r="11" spans="1:17">
      <c r="A11" s="98">
        <v>25</v>
      </c>
      <c r="B11" s="99">
        <f t="shared" si="1"/>
        <v>1</v>
      </c>
      <c r="C11" s="100">
        <v>2.5</v>
      </c>
      <c r="D11" s="99">
        <f t="shared" si="2"/>
        <v>3.5</v>
      </c>
      <c r="E11" s="170">
        <f t="shared" si="3"/>
        <v>233.14739449532587</v>
      </c>
      <c r="F11" s="170">
        <f t="shared" si="4"/>
        <v>45.344556797637075</v>
      </c>
      <c r="G11" s="170">
        <f t="shared" si="11"/>
        <v>286.78999999999996</v>
      </c>
      <c r="H11" s="170">
        <f t="shared" si="5"/>
        <v>45.868100494270841</v>
      </c>
      <c r="I11" s="170">
        <f t="shared" si="6"/>
        <v>33.306770642189413</v>
      </c>
      <c r="J11" s="170">
        <f t="shared" si="7"/>
        <v>36.524999999999999</v>
      </c>
      <c r="K11" s="170">
        <f t="shared" si="8"/>
        <v>216.85289256198345</v>
      </c>
      <c r="L11" s="170">
        <f t="shared" si="9"/>
        <v>897.83471499140671</v>
      </c>
      <c r="M11" s="171">
        <f t="shared" si="0"/>
        <v>3.5913388599656271</v>
      </c>
      <c r="P11" s="98">
        <v>210</v>
      </c>
      <c r="Q11" s="171">
        <f t="shared" si="10"/>
        <v>1.2442521159738926</v>
      </c>
    </row>
    <row r="12" spans="1:17">
      <c r="A12" s="98">
        <v>30</v>
      </c>
      <c r="B12" s="99">
        <f t="shared" si="1"/>
        <v>1.2</v>
      </c>
      <c r="C12" s="100">
        <v>2.5</v>
      </c>
      <c r="D12" s="99">
        <f t="shared" si="2"/>
        <v>3.7</v>
      </c>
      <c r="E12" s="170">
        <f t="shared" si="3"/>
        <v>246.47010275220163</v>
      </c>
      <c r="F12" s="170">
        <f t="shared" si="4"/>
        <v>47.935674328930617</v>
      </c>
      <c r="G12" s="170">
        <f t="shared" si="11"/>
        <v>303.178</v>
      </c>
      <c r="H12" s="170">
        <f t="shared" si="5"/>
        <v>48.489134808229174</v>
      </c>
      <c r="I12" s="170">
        <f t="shared" si="6"/>
        <v>39.968124770627291</v>
      </c>
      <c r="J12" s="170">
        <f t="shared" si="7"/>
        <v>43.830000000000005</v>
      </c>
      <c r="K12" s="170">
        <f t="shared" si="8"/>
        <v>260.22347107438014</v>
      </c>
      <c r="L12" s="170">
        <f t="shared" si="9"/>
        <v>990.09450773436879</v>
      </c>
      <c r="M12" s="171">
        <f t="shared" si="0"/>
        <v>3.3003150257812295</v>
      </c>
      <c r="P12" s="98">
        <v>220</v>
      </c>
      <c r="Q12" s="171">
        <f t="shared" si="10"/>
        <v>1.2344710879306018</v>
      </c>
    </row>
    <row r="13" spans="1:17">
      <c r="A13" s="98">
        <v>35</v>
      </c>
      <c r="B13" s="99">
        <f t="shared" si="1"/>
        <v>1.4</v>
      </c>
      <c r="C13" s="100">
        <v>2.5</v>
      </c>
      <c r="D13" s="99">
        <f t="shared" si="2"/>
        <v>3.9</v>
      </c>
      <c r="E13" s="170">
        <f t="shared" si="3"/>
        <v>259.79281100907735</v>
      </c>
      <c r="F13" s="170">
        <f t="shared" si="4"/>
        <v>50.526791860224165</v>
      </c>
      <c r="G13" s="170">
        <f t="shared" si="11"/>
        <v>319.56599999999997</v>
      </c>
      <c r="H13" s="170">
        <f t="shared" si="5"/>
        <v>51.110169122187507</v>
      </c>
      <c r="I13" s="170">
        <f t="shared" si="6"/>
        <v>46.629478899065163</v>
      </c>
      <c r="J13" s="170">
        <f t="shared" si="7"/>
        <v>51.135000000000005</v>
      </c>
      <c r="K13" s="170">
        <f t="shared" si="8"/>
        <v>303.5940495867768</v>
      </c>
      <c r="L13" s="170">
        <f t="shared" si="9"/>
        <v>1082.354300477331</v>
      </c>
      <c r="M13" s="171">
        <f t="shared" si="0"/>
        <v>3.0924408585066603</v>
      </c>
      <c r="P13" s="98">
        <v>230</v>
      </c>
      <c r="Q13" s="171">
        <f t="shared" si="10"/>
        <v>1.2255405840649884</v>
      </c>
    </row>
    <row r="14" spans="1:17">
      <c r="A14" s="98">
        <v>40</v>
      </c>
      <c r="B14" s="99">
        <f t="shared" si="1"/>
        <v>1.6</v>
      </c>
      <c r="C14" s="100">
        <v>2.5</v>
      </c>
      <c r="D14" s="99">
        <f t="shared" si="2"/>
        <v>4.0999999999999996</v>
      </c>
      <c r="E14" s="170">
        <f t="shared" si="3"/>
        <v>273.11551926595314</v>
      </c>
      <c r="F14" s="170">
        <f t="shared" si="4"/>
        <v>53.117909391517706</v>
      </c>
      <c r="G14" s="170">
        <f t="shared" si="11"/>
        <v>335.95399999999995</v>
      </c>
      <c r="H14" s="170">
        <f t="shared" si="5"/>
        <v>53.731203436145833</v>
      </c>
      <c r="I14" s="170">
        <f t="shared" si="6"/>
        <v>53.290833027503055</v>
      </c>
      <c r="J14" s="170">
        <f t="shared" si="7"/>
        <v>58.440000000000005</v>
      </c>
      <c r="K14" s="170">
        <f t="shared" si="8"/>
        <v>346.96462809917352</v>
      </c>
      <c r="L14" s="170">
        <f t="shared" si="9"/>
        <v>1174.6140932202932</v>
      </c>
      <c r="M14" s="171">
        <f t="shared" si="0"/>
        <v>2.9365352330507326</v>
      </c>
      <c r="P14" s="98">
        <v>240</v>
      </c>
      <c r="Q14" s="171">
        <f t="shared" si="10"/>
        <v>1.2173542888548428</v>
      </c>
    </row>
    <row r="15" spans="1:17">
      <c r="A15" s="98">
        <v>45</v>
      </c>
      <c r="B15" s="99">
        <f t="shared" si="1"/>
        <v>1.8</v>
      </c>
      <c r="C15" s="100">
        <v>2.5</v>
      </c>
      <c r="D15" s="99">
        <f t="shared" si="2"/>
        <v>4.3</v>
      </c>
      <c r="E15" s="170">
        <f t="shared" si="3"/>
        <v>286.43822752282887</v>
      </c>
      <c r="F15" s="170">
        <f t="shared" si="4"/>
        <v>55.709026922811262</v>
      </c>
      <c r="G15" s="170">
        <f t="shared" si="11"/>
        <v>352.34199999999998</v>
      </c>
      <c r="H15" s="170">
        <f t="shared" si="5"/>
        <v>56.352237750104173</v>
      </c>
      <c r="I15" s="170">
        <f t="shared" si="6"/>
        <v>59.952187155940933</v>
      </c>
      <c r="J15" s="170">
        <f t="shared" si="7"/>
        <v>65.745000000000005</v>
      </c>
      <c r="K15" s="170">
        <f t="shared" si="8"/>
        <v>390.33520661157024</v>
      </c>
      <c r="L15" s="170">
        <f t="shared" si="9"/>
        <v>1266.8738859632554</v>
      </c>
      <c r="M15" s="171">
        <f t="shared" si="0"/>
        <v>2.8152753021405674</v>
      </c>
      <c r="P15" s="98">
        <v>250</v>
      </c>
      <c r="Q15" s="171">
        <f t="shared" si="10"/>
        <v>1.209822897261509</v>
      </c>
    </row>
    <row r="16" spans="1:17">
      <c r="A16" s="98">
        <v>50</v>
      </c>
      <c r="B16" s="99">
        <f t="shared" si="1"/>
        <v>2</v>
      </c>
      <c r="C16" s="100">
        <v>2.5</v>
      </c>
      <c r="D16" s="99">
        <f t="shared" si="2"/>
        <v>4.5</v>
      </c>
      <c r="E16" s="170">
        <f>+(C$3+C$2)*0.9*D16/10000</f>
        <v>299.76093577970465</v>
      </c>
      <c r="F16" s="170">
        <f>(C$3+G$2)*0.07*D16/4000</f>
        <v>58.300144454104803</v>
      </c>
      <c r="G16" s="170">
        <f t="shared" si="11"/>
        <v>368.73</v>
      </c>
      <c r="H16" s="170">
        <f t="shared" si="5"/>
        <v>58.973272064062506</v>
      </c>
      <c r="I16" s="170">
        <f t="shared" si="6"/>
        <v>66.613541284378812</v>
      </c>
      <c r="J16" s="170">
        <f t="shared" si="7"/>
        <v>73.05</v>
      </c>
      <c r="K16" s="170">
        <f t="shared" si="8"/>
        <v>433.7057851239669</v>
      </c>
      <c r="L16" s="170">
        <f t="shared" si="9"/>
        <v>1359.1336787062176</v>
      </c>
      <c r="M16" s="171">
        <f t="shared" si="0"/>
        <v>2.7182673574124352</v>
      </c>
      <c r="P16" s="98">
        <v>260</v>
      </c>
      <c r="Q16" s="171">
        <f t="shared" si="10"/>
        <v>1.2028708434830471</v>
      </c>
    </row>
    <row r="17" spans="1:17">
      <c r="A17" s="98">
        <v>60</v>
      </c>
      <c r="B17" s="99">
        <f t="shared" si="1"/>
        <v>2.4</v>
      </c>
      <c r="C17" s="100">
        <v>6</v>
      </c>
      <c r="D17" s="99">
        <f t="shared" si="2"/>
        <v>8.4</v>
      </c>
      <c r="E17" s="170">
        <f>(C$4+G$2)*0.9*D17/10000</f>
        <v>651.3391299701558</v>
      </c>
      <c r="F17" s="170">
        <f>(C$4+G$2)*0.07*D17/4000</f>
        <v>126.64927527197473</v>
      </c>
      <c r="G17" s="170">
        <f t="shared" si="11"/>
        <v>688.29600000000005</v>
      </c>
      <c r="H17" s="170">
        <f>+G$5/120/8*D17</f>
        <v>124.03395900000001</v>
      </c>
      <c r="I17" s="170">
        <f t="shared" si="6"/>
        <v>93.048447138593673</v>
      </c>
      <c r="J17" s="170">
        <f>2*(K$4*6+K$5*12)/40000*A17</f>
        <v>333.572826446281</v>
      </c>
      <c r="K17" s="170">
        <f>0.12*176*C$5*1.3*B17</f>
        <v>631.71490909090903</v>
      </c>
      <c r="L17" s="170">
        <f t="shared" si="9"/>
        <v>2648.6545469179146</v>
      </c>
      <c r="M17" s="171">
        <f>+L17/24/A17</f>
        <v>1.8393434353596629</v>
      </c>
      <c r="P17" s="98">
        <v>280</v>
      </c>
      <c r="Q17" s="171">
        <f t="shared" si="10"/>
        <v>1.1904564617357931</v>
      </c>
    </row>
    <row r="18" spans="1:17">
      <c r="A18" s="98">
        <v>70</v>
      </c>
      <c r="B18" s="99">
        <f t="shared" si="1"/>
        <v>2.8</v>
      </c>
      <c r="C18" s="100">
        <v>6</v>
      </c>
      <c r="D18" s="99">
        <f t="shared" si="2"/>
        <v>8.8000000000000007</v>
      </c>
      <c r="E18" s="170">
        <f t="shared" ref="E18:E49" si="12">+C$4*0.9*D18/10000</f>
        <v>606.93737337004472</v>
      </c>
      <c r="F18" s="170">
        <f t="shared" ref="F18:F49" si="13">(C$4+G$2)*0.07*D18/4000</f>
        <v>132.68019314206879</v>
      </c>
      <c r="G18" s="170">
        <f t="shared" si="11"/>
        <v>721.072</v>
      </c>
      <c r="H18" s="170">
        <f t="shared" ref="H18:H49" si="14">+G$5/120/8*D18</f>
        <v>129.94033800000003</v>
      </c>
      <c r="I18" s="170">
        <f t="shared" si="6"/>
        <v>96.558218490688915</v>
      </c>
      <c r="J18" s="170">
        <f t="shared" ref="J18:J49" si="15">2*(K$4*6+K$5*12)/40000*A18</f>
        <v>389.16829752066121</v>
      </c>
      <c r="K18" s="170">
        <f t="shared" ref="K18:K49" si="16">0.12*176*C$5*1.3*B18</f>
        <v>737.0007272727272</v>
      </c>
      <c r="L18" s="170">
        <f t="shared" si="9"/>
        <v>2813.3571477961909</v>
      </c>
      <c r="M18" s="171">
        <f t="shared" ref="M18:M48" si="17">+L18/24/A18</f>
        <v>1.6746173498786852</v>
      </c>
      <c r="P18" s="98">
        <v>300</v>
      </c>
      <c r="Q18" s="171">
        <f t="shared" si="10"/>
        <v>1.1796973308881735</v>
      </c>
    </row>
    <row r="19" spans="1:17">
      <c r="A19" s="98">
        <v>80</v>
      </c>
      <c r="B19" s="99">
        <f t="shared" si="1"/>
        <v>3.2</v>
      </c>
      <c r="C19" s="100">
        <v>6</v>
      </c>
      <c r="D19" s="99">
        <f t="shared" si="2"/>
        <v>9.1999999999999993</v>
      </c>
      <c r="E19" s="170">
        <f t="shared" si="12"/>
        <v>634.52543579595579</v>
      </c>
      <c r="F19" s="170">
        <f t="shared" si="13"/>
        <v>138.71111101216277</v>
      </c>
      <c r="G19" s="170">
        <f t="shared" si="11"/>
        <v>753.84799999999996</v>
      </c>
      <c r="H19" s="170">
        <f t="shared" si="14"/>
        <v>135.84671700000001</v>
      </c>
      <c r="I19" s="170">
        <f t="shared" si="6"/>
        <v>110.3522497036445</v>
      </c>
      <c r="J19" s="170">
        <f t="shared" si="15"/>
        <v>444.76376859504137</v>
      </c>
      <c r="K19" s="170">
        <f t="shared" si="16"/>
        <v>842.28654545454538</v>
      </c>
      <c r="L19" s="170">
        <f t="shared" si="9"/>
        <v>3060.3338275613496</v>
      </c>
      <c r="M19" s="171">
        <f t="shared" si="17"/>
        <v>1.5939238685215362</v>
      </c>
      <c r="P19" s="98">
        <v>320</v>
      </c>
      <c r="Q19" s="171">
        <f t="shared" si="10"/>
        <v>1.1702830913965061</v>
      </c>
    </row>
    <row r="20" spans="1:17">
      <c r="A20" s="98">
        <v>90</v>
      </c>
      <c r="B20" s="99">
        <f t="shared" si="1"/>
        <v>3.6</v>
      </c>
      <c r="C20" s="100">
        <v>6</v>
      </c>
      <c r="D20" s="99">
        <f t="shared" si="2"/>
        <v>9.6</v>
      </c>
      <c r="E20" s="170">
        <f t="shared" si="12"/>
        <v>662.11349822186696</v>
      </c>
      <c r="F20" s="170">
        <f t="shared" si="13"/>
        <v>144.74202888225682</v>
      </c>
      <c r="G20" s="170">
        <f t="shared" si="11"/>
        <v>786.62399999999991</v>
      </c>
      <c r="H20" s="170">
        <f t="shared" si="14"/>
        <v>141.753096</v>
      </c>
      <c r="I20" s="170">
        <f t="shared" si="6"/>
        <v>124.14628091660006</v>
      </c>
      <c r="J20" s="170">
        <f t="shared" si="15"/>
        <v>500.35923966942153</v>
      </c>
      <c r="K20" s="170">
        <f t="shared" si="16"/>
        <v>947.57236363636355</v>
      </c>
      <c r="L20" s="170">
        <f t="shared" si="9"/>
        <v>3307.3105073265087</v>
      </c>
      <c r="M20" s="171">
        <f t="shared" si="17"/>
        <v>1.5311622719104208</v>
      </c>
      <c r="P20" s="98">
        <v>340</v>
      </c>
      <c r="Q20" s="171">
        <f t="shared" si="10"/>
        <v>1.1619764094920937</v>
      </c>
    </row>
    <row r="21" spans="1:17">
      <c r="A21" s="98">
        <v>100</v>
      </c>
      <c r="B21" s="99">
        <f t="shared" si="1"/>
        <v>4</v>
      </c>
      <c r="C21" s="100">
        <v>6</v>
      </c>
      <c r="D21" s="99">
        <f t="shared" si="2"/>
        <v>10</v>
      </c>
      <c r="E21" s="170">
        <f t="shared" si="12"/>
        <v>689.70156064777814</v>
      </c>
      <c r="F21" s="170">
        <f t="shared" si="13"/>
        <v>150.77294675235086</v>
      </c>
      <c r="G21" s="170">
        <f t="shared" si="11"/>
        <v>819.4</v>
      </c>
      <c r="H21" s="170">
        <f t="shared" si="14"/>
        <v>147.65947500000001</v>
      </c>
      <c r="I21" s="170">
        <f t="shared" si="6"/>
        <v>137.94031212955562</v>
      </c>
      <c r="J21" s="170">
        <f t="shared" si="15"/>
        <v>555.95471074380168</v>
      </c>
      <c r="K21" s="170">
        <f t="shared" si="16"/>
        <v>1052.8581818181817</v>
      </c>
      <c r="L21" s="170">
        <f t="shared" si="9"/>
        <v>3554.2871870916679</v>
      </c>
      <c r="M21" s="171">
        <f t="shared" si="17"/>
        <v>1.4809529946215283</v>
      </c>
      <c r="P21" s="98">
        <v>360</v>
      </c>
      <c r="Q21" s="171">
        <f t="shared" si="10"/>
        <v>1.1545926922437273</v>
      </c>
    </row>
    <row r="22" spans="1:17">
      <c r="A22" s="98">
        <v>110</v>
      </c>
      <c r="B22" s="99">
        <f t="shared" si="1"/>
        <v>4.4000000000000004</v>
      </c>
      <c r="C22" s="100">
        <v>6</v>
      </c>
      <c r="D22" s="99">
        <f t="shared" si="2"/>
        <v>10.4</v>
      </c>
      <c r="E22" s="170">
        <f t="shared" si="12"/>
        <v>717.28962307368931</v>
      </c>
      <c r="F22" s="170">
        <f t="shared" si="13"/>
        <v>156.80386462244491</v>
      </c>
      <c r="G22" s="170">
        <f t="shared" si="11"/>
        <v>852.17600000000004</v>
      </c>
      <c r="H22" s="170">
        <f t="shared" si="14"/>
        <v>153.56585400000003</v>
      </c>
      <c r="I22" s="170">
        <f t="shared" si="6"/>
        <v>151.73434334251121</v>
      </c>
      <c r="J22" s="170">
        <f t="shared" si="15"/>
        <v>611.55018181818184</v>
      </c>
      <c r="K22" s="170">
        <f t="shared" si="16"/>
        <v>1158.144</v>
      </c>
      <c r="L22" s="170">
        <f t="shared" si="9"/>
        <v>3801.263866856827</v>
      </c>
      <c r="M22" s="171">
        <f t="shared" si="17"/>
        <v>1.4398726768397072</v>
      </c>
      <c r="P22" s="98">
        <v>380</v>
      </c>
      <c r="Q22" s="171">
        <f t="shared" si="10"/>
        <v>1.1479862083899255</v>
      </c>
    </row>
    <row r="23" spans="1:17">
      <c r="A23" s="98">
        <v>120</v>
      </c>
      <c r="B23" s="99">
        <f t="shared" si="1"/>
        <v>4.8</v>
      </c>
      <c r="C23" s="100">
        <v>6</v>
      </c>
      <c r="D23" s="99">
        <f t="shared" si="2"/>
        <v>10.8</v>
      </c>
      <c r="E23" s="170">
        <f t="shared" si="12"/>
        <v>744.87768549960037</v>
      </c>
      <c r="F23" s="170">
        <f t="shared" si="13"/>
        <v>162.83478249253895</v>
      </c>
      <c r="G23" s="170">
        <f t="shared" si="11"/>
        <v>884.952</v>
      </c>
      <c r="H23" s="170">
        <f t="shared" si="14"/>
        <v>159.47223300000002</v>
      </c>
      <c r="I23" s="170">
        <f t="shared" si="6"/>
        <v>165.52837455546674</v>
      </c>
      <c r="J23" s="170">
        <f t="shared" si="15"/>
        <v>667.145652892562</v>
      </c>
      <c r="K23" s="170">
        <f t="shared" si="16"/>
        <v>1263.4298181818181</v>
      </c>
      <c r="L23" s="170">
        <f t="shared" si="9"/>
        <v>4048.2405466219857</v>
      </c>
      <c r="M23" s="171">
        <f t="shared" si="17"/>
        <v>1.4056390786881894</v>
      </c>
      <c r="P23" s="98">
        <v>400</v>
      </c>
      <c r="Q23" s="171">
        <f t="shared" si="10"/>
        <v>1.1420403729215041</v>
      </c>
    </row>
    <row r="24" spans="1:17">
      <c r="A24" s="98">
        <v>130</v>
      </c>
      <c r="B24" s="99">
        <f t="shared" si="1"/>
        <v>5.2</v>
      </c>
      <c r="C24" s="100">
        <v>6</v>
      </c>
      <c r="D24" s="99">
        <f t="shared" si="2"/>
        <v>11.2</v>
      </c>
      <c r="E24" s="170">
        <f t="shared" si="12"/>
        <v>772.46574792551132</v>
      </c>
      <c r="F24" s="170">
        <f t="shared" si="13"/>
        <v>168.86570036263296</v>
      </c>
      <c r="G24" s="170">
        <f t="shared" si="11"/>
        <v>917.72799999999995</v>
      </c>
      <c r="H24" s="170">
        <f t="shared" si="14"/>
        <v>165.378612</v>
      </c>
      <c r="I24" s="170">
        <f t="shared" si="6"/>
        <v>179.3224057684223</v>
      </c>
      <c r="J24" s="170">
        <f t="shared" si="15"/>
        <v>722.74112396694215</v>
      </c>
      <c r="K24" s="170">
        <f t="shared" si="16"/>
        <v>1368.7156363636363</v>
      </c>
      <c r="L24" s="170">
        <f t="shared" si="9"/>
        <v>4295.2172263871453</v>
      </c>
      <c r="M24" s="171">
        <f t="shared" si="17"/>
        <v>1.376672187944598</v>
      </c>
      <c r="P24" s="98">
        <v>420</v>
      </c>
      <c r="Q24" s="171">
        <f t="shared" si="10"/>
        <v>1.1366608074976943</v>
      </c>
    </row>
    <row r="25" spans="1:17">
      <c r="A25" s="98">
        <v>140</v>
      </c>
      <c r="B25" s="99">
        <f t="shared" si="1"/>
        <v>5.6</v>
      </c>
      <c r="C25" s="100">
        <v>6</v>
      </c>
      <c r="D25" s="99">
        <f t="shared" si="2"/>
        <v>11.6</v>
      </c>
      <c r="E25" s="170">
        <f t="shared" si="12"/>
        <v>800.0538103514225</v>
      </c>
      <c r="F25" s="170">
        <f t="shared" si="13"/>
        <v>174.89661823272698</v>
      </c>
      <c r="G25" s="170">
        <f t="shared" si="11"/>
        <v>950.50399999999991</v>
      </c>
      <c r="H25" s="170">
        <f t="shared" si="14"/>
        <v>171.28499100000002</v>
      </c>
      <c r="I25" s="170">
        <f t="shared" si="6"/>
        <v>193.11643698137786</v>
      </c>
      <c r="J25" s="170">
        <f t="shared" si="15"/>
        <v>778.33659504132243</v>
      </c>
      <c r="K25" s="170">
        <f t="shared" si="16"/>
        <v>1474.0014545454544</v>
      </c>
      <c r="L25" s="170">
        <f t="shared" si="9"/>
        <v>4542.1939061523035</v>
      </c>
      <c r="M25" s="171">
        <f t="shared" si="17"/>
        <v>1.3518434244500903</v>
      </c>
      <c r="P25" s="98">
        <v>440</v>
      </c>
      <c r="Q25" s="171">
        <f t="shared" si="10"/>
        <v>1.1317702934760492</v>
      </c>
    </row>
    <row r="26" spans="1:17">
      <c r="A26" s="98">
        <v>150</v>
      </c>
      <c r="B26" s="99">
        <f t="shared" si="1"/>
        <v>6</v>
      </c>
      <c r="C26" s="100">
        <v>6</v>
      </c>
      <c r="D26" s="99">
        <f t="shared" si="2"/>
        <v>12</v>
      </c>
      <c r="E26" s="170">
        <f t="shared" si="12"/>
        <v>827.64187277733367</v>
      </c>
      <c r="F26" s="170">
        <f t="shared" si="13"/>
        <v>180.92753610282105</v>
      </c>
      <c r="G26" s="170">
        <f t="shared" si="11"/>
        <v>983.28</v>
      </c>
      <c r="H26" s="170">
        <f t="shared" si="14"/>
        <v>177.19137000000001</v>
      </c>
      <c r="I26" s="170">
        <f t="shared" si="6"/>
        <v>206.91046819433345</v>
      </c>
      <c r="J26" s="170">
        <f t="shared" si="15"/>
        <v>833.93206611570258</v>
      </c>
      <c r="K26" s="170">
        <f t="shared" si="16"/>
        <v>1579.2872727272725</v>
      </c>
      <c r="L26" s="170">
        <f t="shared" si="9"/>
        <v>4789.1705859174635</v>
      </c>
      <c r="M26" s="171">
        <f t="shared" si="17"/>
        <v>1.3303251627548509</v>
      </c>
      <c r="P26" s="98">
        <v>460</v>
      </c>
      <c r="Q26" s="171">
        <f t="shared" si="10"/>
        <v>1.127305041543242</v>
      </c>
    </row>
    <row r="27" spans="1:17">
      <c r="A27" s="98">
        <v>160</v>
      </c>
      <c r="B27" s="99">
        <f t="shared" si="1"/>
        <v>6.4</v>
      </c>
      <c r="C27" s="100">
        <v>6</v>
      </c>
      <c r="D27" s="99">
        <f t="shared" si="2"/>
        <v>12.4</v>
      </c>
      <c r="E27" s="170">
        <f t="shared" si="12"/>
        <v>855.22993520324496</v>
      </c>
      <c r="F27" s="170">
        <f t="shared" si="13"/>
        <v>186.95845397291509</v>
      </c>
      <c r="G27" s="170">
        <f t="shared" si="11"/>
        <v>1016.056</v>
      </c>
      <c r="H27" s="170">
        <f t="shared" si="14"/>
        <v>183.09774900000002</v>
      </c>
      <c r="I27" s="170">
        <f t="shared" si="6"/>
        <v>220.70449940728903</v>
      </c>
      <c r="J27" s="170">
        <f t="shared" si="15"/>
        <v>889.52753719008274</v>
      </c>
      <c r="K27" s="170">
        <f t="shared" si="16"/>
        <v>1684.5730909090908</v>
      </c>
      <c r="L27" s="170">
        <f t="shared" si="9"/>
        <v>5036.1472656826227</v>
      </c>
      <c r="M27" s="171">
        <f t="shared" si="17"/>
        <v>1.3114966837715163</v>
      </c>
      <c r="P27" s="98">
        <v>480</v>
      </c>
      <c r="Q27" s="171">
        <f t="shared" si="10"/>
        <v>1.1232118939381694</v>
      </c>
    </row>
    <row r="28" spans="1:17" ht="15.75" customHeight="1">
      <c r="A28" s="98">
        <v>170</v>
      </c>
      <c r="B28" s="99">
        <f t="shared" si="1"/>
        <v>6.8</v>
      </c>
      <c r="C28" s="100">
        <v>6</v>
      </c>
      <c r="D28" s="99">
        <f t="shared" si="2"/>
        <v>12.8</v>
      </c>
      <c r="E28" s="170">
        <f t="shared" si="12"/>
        <v>882.81799762915591</v>
      </c>
      <c r="F28" s="170">
        <f t="shared" si="13"/>
        <v>192.98937184300914</v>
      </c>
      <c r="G28" s="170">
        <f t="shared" si="11"/>
        <v>1048.8320000000001</v>
      </c>
      <c r="H28" s="170">
        <f t="shared" si="14"/>
        <v>189.00412800000004</v>
      </c>
      <c r="I28" s="170">
        <f t="shared" si="6"/>
        <v>234.49853062024451</v>
      </c>
      <c r="J28" s="170">
        <f t="shared" si="15"/>
        <v>945.1230082644629</v>
      </c>
      <c r="K28" s="170">
        <f t="shared" si="16"/>
        <v>1789.8589090909088</v>
      </c>
      <c r="L28" s="170">
        <f t="shared" si="9"/>
        <v>5283.1239454477809</v>
      </c>
      <c r="M28" s="171">
        <f>+L28/24/A28</f>
        <v>1.2948833199626915</v>
      </c>
      <c r="N28" s="201"/>
      <c r="P28" s="98">
        <v>500</v>
      </c>
      <c r="Q28" s="171">
        <f>M49</f>
        <v>1.1194461981415025</v>
      </c>
    </row>
    <row r="29" spans="1:17" hidden="1">
      <c r="A29" s="98">
        <v>180</v>
      </c>
      <c r="B29" s="99">
        <f t="shared" si="1"/>
        <v>7.2</v>
      </c>
      <c r="C29" s="100">
        <v>6</v>
      </c>
      <c r="D29" s="99">
        <f t="shared" si="2"/>
        <v>13.2</v>
      </c>
      <c r="E29" s="170">
        <f t="shared" si="12"/>
        <v>910.40606005506697</v>
      </c>
      <c r="F29" s="170">
        <f t="shared" si="13"/>
        <v>199.02028971310315</v>
      </c>
      <c r="G29" s="170">
        <f t="shared" si="11"/>
        <v>1081.6079999999999</v>
      </c>
      <c r="H29" s="170">
        <f t="shared" si="14"/>
        <v>194.910507</v>
      </c>
      <c r="I29" s="170">
        <f t="shared" si="6"/>
        <v>248.2925618332001</v>
      </c>
      <c r="J29" s="170">
        <f t="shared" si="15"/>
        <v>1000.7184793388431</v>
      </c>
      <c r="K29" s="170">
        <f t="shared" si="16"/>
        <v>1895.1447272727271</v>
      </c>
      <c r="L29" s="170">
        <f t="shared" si="9"/>
        <v>5530.1006252129409</v>
      </c>
      <c r="M29" s="171">
        <f t="shared" si="17"/>
        <v>1.2801158854659584</v>
      </c>
    </row>
    <row r="30" spans="1:17" hidden="1">
      <c r="A30" s="98">
        <v>190</v>
      </c>
      <c r="B30" s="99">
        <f t="shared" si="1"/>
        <v>7.6</v>
      </c>
      <c r="C30" s="100">
        <v>6</v>
      </c>
      <c r="D30" s="99">
        <f t="shared" si="2"/>
        <v>13.6</v>
      </c>
      <c r="E30" s="170">
        <f t="shared" si="12"/>
        <v>937.99412248097826</v>
      </c>
      <c r="F30" s="170">
        <f t="shared" si="13"/>
        <v>205.0512075831972</v>
      </c>
      <c r="G30" s="170">
        <f t="shared" si="11"/>
        <v>1114.384</v>
      </c>
      <c r="H30" s="170">
        <f t="shared" si="14"/>
        <v>200.81688600000001</v>
      </c>
      <c r="I30" s="170">
        <f t="shared" si="6"/>
        <v>262.08659304615566</v>
      </c>
      <c r="J30" s="170">
        <f t="shared" si="15"/>
        <v>1056.3139504132232</v>
      </c>
      <c r="K30" s="170">
        <f t="shared" si="16"/>
        <v>2000.4305454545452</v>
      </c>
      <c r="L30" s="170">
        <f t="shared" si="9"/>
        <v>5777.0773049781001</v>
      </c>
      <c r="M30" s="171">
        <f t="shared" si="17"/>
        <v>1.2669029177583553</v>
      </c>
    </row>
    <row r="31" spans="1:17" hidden="1">
      <c r="A31" s="98">
        <v>200</v>
      </c>
      <c r="B31" s="99">
        <f t="shared" si="1"/>
        <v>8</v>
      </c>
      <c r="C31" s="100">
        <v>6</v>
      </c>
      <c r="D31" s="99">
        <f t="shared" si="2"/>
        <v>14</v>
      </c>
      <c r="E31" s="170">
        <f t="shared" si="12"/>
        <v>965.58218490688932</v>
      </c>
      <c r="F31" s="170">
        <f t="shared" si="13"/>
        <v>211.08212545329124</v>
      </c>
      <c r="G31" s="170">
        <f t="shared" si="11"/>
        <v>1147.1599999999999</v>
      </c>
      <c r="H31" s="170">
        <f t="shared" si="14"/>
        <v>206.72326500000003</v>
      </c>
      <c r="I31" s="170">
        <f t="shared" si="6"/>
        <v>275.88062425911124</v>
      </c>
      <c r="J31" s="170">
        <f t="shared" si="15"/>
        <v>1111.9094214876034</v>
      </c>
      <c r="K31" s="170">
        <f t="shared" si="16"/>
        <v>2105.7163636363634</v>
      </c>
      <c r="L31" s="170">
        <f t="shared" si="9"/>
        <v>6024.0539847432592</v>
      </c>
      <c r="M31" s="171">
        <f t="shared" si="17"/>
        <v>1.2550112468215122</v>
      </c>
    </row>
    <row r="32" spans="1:17" hidden="1">
      <c r="A32" s="98">
        <v>210</v>
      </c>
      <c r="B32" s="99">
        <f t="shared" si="1"/>
        <v>8.4</v>
      </c>
      <c r="C32" s="100">
        <v>6</v>
      </c>
      <c r="D32" s="99">
        <f t="shared" si="2"/>
        <v>14.4</v>
      </c>
      <c r="E32" s="170">
        <f t="shared" si="12"/>
        <v>993.1702473328005</v>
      </c>
      <c r="F32" s="170">
        <f t="shared" si="13"/>
        <v>217.11304332338526</v>
      </c>
      <c r="G32" s="170">
        <f t="shared" si="11"/>
        <v>1179.9359999999999</v>
      </c>
      <c r="H32" s="170">
        <f t="shared" si="14"/>
        <v>212.62964400000001</v>
      </c>
      <c r="I32" s="170">
        <f t="shared" si="6"/>
        <v>289.67465547206683</v>
      </c>
      <c r="J32" s="170">
        <f t="shared" si="15"/>
        <v>1167.5048925619835</v>
      </c>
      <c r="K32" s="170">
        <f t="shared" si="16"/>
        <v>2211.0021818181817</v>
      </c>
      <c r="L32" s="170">
        <f t="shared" si="9"/>
        <v>6271.0306645084183</v>
      </c>
      <c r="M32" s="171">
        <f t="shared" si="17"/>
        <v>1.2442521159738926</v>
      </c>
    </row>
    <row r="33" spans="1:13" hidden="1">
      <c r="A33" s="98">
        <v>220</v>
      </c>
      <c r="B33" s="99">
        <f t="shared" si="1"/>
        <v>8.8000000000000007</v>
      </c>
      <c r="C33" s="100">
        <v>6</v>
      </c>
      <c r="D33" s="99">
        <f t="shared" si="2"/>
        <v>14.8</v>
      </c>
      <c r="E33" s="170">
        <f t="shared" si="12"/>
        <v>1020.7583097587116</v>
      </c>
      <c r="F33" s="170">
        <f t="shared" si="13"/>
        <v>223.1439611934793</v>
      </c>
      <c r="G33" s="170">
        <f t="shared" si="11"/>
        <v>1212.712</v>
      </c>
      <c r="H33" s="170">
        <f t="shared" si="14"/>
        <v>218.53602300000003</v>
      </c>
      <c r="I33" s="170">
        <f t="shared" si="6"/>
        <v>303.46868668502236</v>
      </c>
      <c r="J33" s="170">
        <f t="shared" si="15"/>
        <v>1223.1003636363637</v>
      </c>
      <c r="K33" s="170">
        <f t="shared" si="16"/>
        <v>2316.288</v>
      </c>
      <c r="L33" s="170">
        <f t="shared" si="9"/>
        <v>6518.0073442735775</v>
      </c>
      <c r="M33" s="171">
        <f t="shared" si="17"/>
        <v>1.2344710879306018</v>
      </c>
    </row>
    <row r="34" spans="1:13" hidden="1">
      <c r="A34" s="98">
        <v>230</v>
      </c>
      <c r="B34" s="99">
        <f t="shared" si="1"/>
        <v>9.1999999999999993</v>
      </c>
      <c r="C34" s="100">
        <v>6</v>
      </c>
      <c r="D34" s="99">
        <f t="shared" si="2"/>
        <v>15.2</v>
      </c>
      <c r="E34" s="170">
        <f t="shared" si="12"/>
        <v>1048.3463721846226</v>
      </c>
      <c r="F34" s="170">
        <f t="shared" si="13"/>
        <v>229.17487906357331</v>
      </c>
      <c r="G34" s="170">
        <f t="shared" si="11"/>
        <v>1245.4879999999998</v>
      </c>
      <c r="H34" s="170">
        <f t="shared" si="14"/>
        <v>224.44240200000002</v>
      </c>
      <c r="I34" s="170">
        <f t="shared" si="6"/>
        <v>317.26271789797789</v>
      </c>
      <c r="J34" s="170">
        <f t="shared" si="15"/>
        <v>1278.6958347107438</v>
      </c>
      <c r="K34" s="170">
        <f t="shared" si="16"/>
        <v>2421.5738181818178</v>
      </c>
      <c r="L34" s="170">
        <f t="shared" si="9"/>
        <v>6764.9840240387357</v>
      </c>
      <c r="M34" s="171">
        <f t="shared" si="17"/>
        <v>1.2255405840649884</v>
      </c>
    </row>
    <row r="35" spans="1:13" hidden="1">
      <c r="A35" s="98">
        <v>240</v>
      </c>
      <c r="B35" s="99">
        <f t="shared" si="1"/>
        <v>9.6</v>
      </c>
      <c r="C35" s="100">
        <v>6</v>
      </c>
      <c r="D35" s="99">
        <f t="shared" si="2"/>
        <v>15.6</v>
      </c>
      <c r="E35" s="170">
        <f t="shared" si="12"/>
        <v>1075.9344346105338</v>
      </c>
      <c r="F35" s="170">
        <f t="shared" si="13"/>
        <v>235.20579693366736</v>
      </c>
      <c r="G35" s="170">
        <f t="shared" si="11"/>
        <v>1278.2639999999999</v>
      </c>
      <c r="H35" s="170">
        <f t="shared" si="14"/>
        <v>230.348781</v>
      </c>
      <c r="I35" s="170">
        <f t="shared" si="6"/>
        <v>331.05674911093342</v>
      </c>
      <c r="J35" s="170">
        <f t="shared" si="15"/>
        <v>1334.291305785124</v>
      </c>
      <c r="K35" s="170">
        <f t="shared" si="16"/>
        <v>2526.8596363636361</v>
      </c>
      <c r="L35" s="170">
        <f t="shared" si="9"/>
        <v>7011.9607038038948</v>
      </c>
      <c r="M35" s="171">
        <f t="shared" si="17"/>
        <v>1.2173542888548428</v>
      </c>
    </row>
    <row r="36" spans="1:13" hidden="1">
      <c r="A36" s="98">
        <v>250</v>
      </c>
      <c r="B36" s="99">
        <f t="shared" si="1"/>
        <v>10</v>
      </c>
      <c r="C36" s="100">
        <v>6</v>
      </c>
      <c r="D36" s="99">
        <f t="shared" si="2"/>
        <v>16</v>
      </c>
      <c r="E36" s="170">
        <f t="shared" si="12"/>
        <v>1103.522497036445</v>
      </c>
      <c r="F36" s="170">
        <f t="shared" si="13"/>
        <v>241.2367148037614</v>
      </c>
      <c r="G36" s="170">
        <f t="shared" si="11"/>
        <v>1311.04</v>
      </c>
      <c r="H36" s="170">
        <f t="shared" si="14"/>
        <v>236.25516000000002</v>
      </c>
      <c r="I36" s="170">
        <f t="shared" si="6"/>
        <v>344.85078032388907</v>
      </c>
      <c r="J36" s="170">
        <f t="shared" si="15"/>
        <v>1389.8867768595042</v>
      </c>
      <c r="K36" s="170">
        <f t="shared" si="16"/>
        <v>2632.1454545454544</v>
      </c>
      <c r="L36" s="170">
        <f t="shared" si="9"/>
        <v>7258.937383569054</v>
      </c>
      <c r="M36" s="171">
        <f t="shared" si="17"/>
        <v>1.209822897261509</v>
      </c>
    </row>
    <row r="37" spans="1:13" hidden="1">
      <c r="A37" s="98">
        <v>260</v>
      </c>
      <c r="B37" s="99">
        <f t="shared" si="1"/>
        <v>10.4</v>
      </c>
      <c r="C37" s="100">
        <v>6</v>
      </c>
      <c r="D37" s="99">
        <f t="shared" si="2"/>
        <v>16.399999999999999</v>
      </c>
      <c r="E37" s="170">
        <f t="shared" si="12"/>
        <v>1131.1105594623559</v>
      </c>
      <c r="F37" s="170">
        <f t="shared" si="13"/>
        <v>247.26763267385542</v>
      </c>
      <c r="G37" s="170">
        <f t="shared" si="11"/>
        <v>1343.8159999999998</v>
      </c>
      <c r="H37" s="170">
        <f t="shared" si="14"/>
        <v>242.161539</v>
      </c>
      <c r="I37" s="170">
        <f t="shared" si="6"/>
        <v>358.6448115368446</v>
      </c>
      <c r="J37" s="170">
        <f t="shared" si="15"/>
        <v>1445.4822479338843</v>
      </c>
      <c r="K37" s="170">
        <f t="shared" si="16"/>
        <v>2737.4312727272727</v>
      </c>
      <c r="L37" s="170">
        <f t="shared" si="9"/>
        <v>7505.9140633342131</v>
      </c>
      <c r="M37" s="171">
        <f t="shared" si="17"/>
        <v>1.2028708434830471</v>
      </c>
    </row>
    <row r="38" spans="1:13" hidden="1">
      <c r="A38" s="98">
        <v>280</v>
      </c>
      <c r="B38" s="99">
        <f t="shared" si="1"/>
        <v>11.2</v>
      </c>
      <c r="C38" s="100">
        <v>6</v>
      </c>
      <c r="D38" s="99">
        <f t="shared" si="2"/>
        <v>17.2</v>
      </c>
      <c r="E38" s="170">
        <f t="shared" si="12"/>
        <v>1186.2866843141783</v>
      </c>
      <c r="F38" s="170">
        <f t="shared" si="13"/>
        <v>259.3294684140435</v>
      </c>
      <c r="G38" s="170">
        <f t="shared" si="11"/>
        <v>1409.3679999999999</v>
      </c>
      <c r="H38" s="170">
        <f t="shared" si="14"/>
        <v>253.97429700000001</v>
      </c>
      <c r="I38" s="170">
        <f t="shared" si="6"/>
        <v>386.23287396275572</v>
      </c>
      <c r="J38" s="170">
        <f t="shared" si="15"/>
        <v>1556.6731900826449</v>
      </c>
      <c r="K38" s="170">
        <f t="shared" si="16"/>
        <v>2948.0029090909088</v>
      </c>
      <c r="L38" s="170">
        <f t="shared" si="9"/>
        <v>7999.8674228645305</v>
      </c>
      <c r="M38" s="171">
        <f t="shared" si="17"/>
        <v>1.1904564617357931</v>
      </c>
    </row>
    <row r="39" spans="1:13" hidden="1">
      <c r="A39" s="98">
        <v>300</v>
      </c>
      <c r="B39" s="99">
        <f t="shared" si="1"/>
        <v>12</v>
      </c>
      <c r="C39" s="100">
        <v>6</v>
      </c>
      <c r="D39" s="99">
        <f t="shared" si="2"/>
        <v>18</v>
      </c>
      <c r="E39" s="170">
        <f t="shared" si="12"/>
        <v>1241.4628091660006</v>
      </c>
      <c r="F39" s="170">
        <f t="shared" si="13"/>
        <v>271.39130415423153</v>
      </c>
      <c r="G39" s="170">
        <f t="shared" si="11"/>
        <v>1474.92</v>
      </c>
      <c r="H39" s="170">
        <f t="shared" si="14"/>
        <v>265.78705500000001</v>
      </c>
      <c r="I39" s="170">
        <f t="shared" si="6"/>
        <v>413.82093638866689</v>
      </c>
      <c r="J39" s="170">
        <f t="shared" si="15"/>
        <v>1667.8641322314052</v>
      </c>
      <c r="K39" s="170">
        <f t="shared" si="16"/>
        <v>3158.5745454545449</v>
      </c>
      <c r="L39" s="170">
        <f t="shared" si="9"/>
        <v>8493.8207823948487</v>
      </c>
      <c r="M39" s="171">
        <f t="shared" si="17"/>
        <v>1.1796973308881735</v>
      </c>
    </row>
    <row r="40" spans="1:13" hidden="1">
      <c r="A40" s="98">
        <v>320</v>
      </c>
      <c r="B40" s="99">
        <f t="shared" si="1"/>
        <v>12.8</v>
      </c>
      <c r="C40" s="100">
        <v>6</v>
      </c>
      <c r="D40" s="99">
        <f t="shared" si="2"/>
        <v>18.8</v>
      </c>
      <c r="E40" s="170">
        <f t="shared" si="12"/>
        <v>1296.638934017823</v>
      </c>
      <c r="F40" s="170">
        <f t="shared" si="13"/>
        <v>283.45313989441962</v>
      </c>
      <c r="G40" s="170">
        <f t="shared" si="11"/>
        <v>1540.472</v>
      </c>
      <c r="H40" s="170">
        <f t="shared" si="14"/>
        <v>277.59981300000004</v>
      </c>
      <c r="I40" s="170">
        <f t="shared" si="6"/>
        <v>441.40899881457801</v>
      </c>
      <c r="J40" s="170">
        <f t="shared" si="15"/>
        <v>1779.0550743801655</v>
      </c>
      <c r="K40" s="170">
        <f t="shared" si="16"/>
        <v>3369.1461818181815</v>
      </c>
      <c r="L40" s="170">
        <f t="shared" si="9"/>
        <v>8987.774141925167</v>
      </c>
      <c r="M40" s="171">
        <f t="shared" si="17"/>
        <v>1.1702830913965061</v>
      </c>
    </row>
    <row r="41" spans="1:13" hidden="1">
      <c r="A41" s="98">
        <v>340</v>
      </c>
      <c r="B41" s="99">
        <f t="shared" si="1"/>
        <v>13.6</v>
      </c>
      <c r="C41" s="100">
        <v>6</v>
      </c>
      <c r="D41" s="99">
        <f t="shared" si="2"/>
        <v>19.600000000000001</v>
      </c>
      <c r="E41" s="170">
        <f t="shared" si="12"/>
        <v>1351.8150588696451</v>
      </c>
      <c r="F41" s="170">
        <f t="shared" si="13"/>
        <v>295.51497563460771</v>
      </c>
      <c r="G41" s="170">
        <f t="shared" si="11"/>
        <v>1606.0240000000001</v>
      </c>
      <c r="H41" s="170">
        <f t="shared" si="14"/>
        <v>289.41257100000007</v>
      </c>
      <c r="I41" s="170">
        <f t="shared" si="6"/>
        <v>468.99706124048907</v>
      </c>
      <c r="J41" s="170">
        <f t="shared" si="15"/>
        <v>1890.2460165289258</v>
      </c>
      <c r="K41" s="170">
        <f t="shared" si="16"/>
        <v>3579.7178181818176</v>
      </c>
      <c r="L41" s="170">
        <f t="shared" si="9"/>
        <v>9481.7275014554853</v>
      </c>
      <c r="M41" s="171">
        <f t="shared" si="17"/>
        <v>1.1619764094920937</v>
      </c>
    </row>
    <row r="42" spans="1:13" hidden="1">
      <c r="A42" s="98">
        <v>360</v>
      </c>
      <c r="B42" s="99">
        <f t="shared" si="1"/>
        <v>14.4</v>
      </c>
      <c r="C42" s="100">
        <v>6</v>
      </c>
      <c r="D42" s="99">
        <f t="shared" si="2"/>
        <v>20.399999999999999</v>
      </c>
      <c r="E42" s="170">
        <f t="shared" si="12"/>
        <v>1406.9911837214672</v>
      </c>
      <c r="F42" s="170">
        <f t="shared" si="13"/>
        <v>307.57681137479574</v>
      </c>
      <c r="G42" s="170">
        <f t="shared" si="11"/>
        <v>1671.5759999999998</v>
      </c>
      <c r="H42" s="170">
        <f t="shared" si="14"/>
        <v>301.22532899999999</v>
      </c>
      <c r="I42" s="170">
        <f t="shared" si="6"/>
        <v>496.58512366640031</v>
      </c>
      <c r="J42" s="170">
        <f t="shared" si="15"/>
        <v>2001.4369586776861</v>
      </c>
      <c r="K42" s="170">
        <f t="shared" si="16"/>
        <v>3790.2894545454542</v>
      </c>
      <c r="L42" s="170">
        <f t="shared" si="9"/>
        <v>9975.6808609858035</v>
      </c>
      <c r="M42" s="171">
        <f t="shared" si="17"/>
        <v>1.1545926922437273</v>
      </c>
    </row>
    <row r="43" spans="1:13" hidden="1">
      <c r="A43" s="98">
        <v>380</v>
      </c>
      <c r="B43" s="99">
        <f t="shared" si="1"/>
        <v>15.2</v>
      </c>
      <c r="C43" s="100">
        <v>6</v>
      </c>
      <c r="D43" s="99">
        <f t="shared" si="2"/>
        <v>21.2</v>
      </c>
      <c r="E43" s="170">
        <f t="shared" si="12"/>
        <v>1462.1673085732896</v>
      </c>
      <c r="F43" s="170">
        <f t="shared" si="13"/>
        <v>319.63864711498383</v>
      </c>
      <c r="G43" s="170">
        <f t="shared" si="11"/>
        <v>1737.1279999999999</v>
      </c>
      <c r="H43" s="170">
        <f t="shared" si="14"/>
        <v>313.03808700000002</v>
      </c>
      <c r="I43" s="170">
        <f t="shared" si="6"/>
        <v>524.17318609231143</v>
      </c>
      <c r="J43" s="170">
        <f t="shared" si="15"/>
        <v>2112.6279008264464</v>
      </c>
      <c r="K43" s="170">
        <f t="shared" si="16"/>
        <v>4000.8610909090903</v>
      </c>
      <c r="L43" s="170">
        <f t="shared" si="9"/>
        <v>10469.63422051612</v>
      </c>
      <c r="M43" s="171">
        <f t="shared" si="17"/>
        <v>1.1479862083899255</v>
      </c>
    </row>
    <row r="44" spans="1:13" hidden="1">
      <c r="A44" s="98">
        <v>400</v>
      </c>
      <c r="B44" s="99">
        <f t="shared" si="1"/>
        <v>16</v>
      </c>
      <c r="C44" s="100">
        <v>6</v>
      </c>
      <c r="D44" s="99">
        <f t="shared" si="2"/>
        <v>22</v>
      </c>
      <c r="E44" s="170">
        <f t="shared" si="12"/>
        <v>1517.3434334251119</v>
      </c>
      <c r="F44" s="170">
        <f t="shared" si="13"/>
        <v>331.70048285517191</v>
      </c>
      <c r="G44" s="170">
        <f t="shared" si="11"/>
        <v>1802.6799999999998</v>
      </c>
      <c r="H44" s="170">
        <f t="shared" si="14"/>
        <v>324.85084500000005</v>
      </c>
      <c r="I44" s="170">
        <f t="shared" si="6"/>
        <v>551.76124851822249</v>
      </c>
      <c r="J44" s="170">
        <f t="shared" si="15"/>
        <v>2223.8188429752067</v>
      </c>
      <c r="K44" s="170">
        <f t="shared" si="16"/>
        <v>4211.4327272727269</v>
      </c>
      <c r="L44" s="170">
        <f t="shared" si="9"/>
        <v>10963.587580046438</v>
      </c>
      <c r="M44" s="171">
        <f t="shared" si="17"/>
        <v>1.1420403729215041</v>
      </c>
    </row>
    <row r="45" spans="1:13" hidden="1">
      <c r="A45" s="98">
        <v>420</v>
      </c>
      <c r="B45" s="99">
        <f t="shared" si="1"/>
        <v>16.8</v>
      </c>
      <c r="C45" s="100">
        <v>6</v>
      </c>
      <c r="D45" s="99">
        <f t="shared" si="2"/>
        <v>22.8</v>
      </c>
      <c r="E45" s="170">
        <f t="shared" si="12"/>
        <v>1572.5195582769343</v>
      </c>
      <c r="F45" s="170">
        <f t="shared" si="13"/>
        <v>343.76231859536</v>
      </c>
      <c r="G45" s="170">
        <f t="shared" si="11"/>
        <v>1868.232</v>
      </c>
      <c r="H45" s="170">
        <f t="shared" si="14"/>
        <v>336.66360300000002</v>
      </c>
      <c r="I45" s="170">
        <f t="shared" si="6"/>
        <v>579.34931094413366</v>
      </c>
      <c r="J45" s="170">
        <f t="shared" si="15"/>
        <v>2335.009785123967</v>
      </c>
      <c r="K45" s="170">
        <f t="shared" si="16"/>
        <v>4422.0043636363635</v>
      </c>
      <c r="L45" s="170">
        <f t="shared" si="9"/>
        <v>11457.540939576758</v>
      </c>
      <c r="M45" s="171">
        <f t="shared" si="17"/>
        <v>1.1366608074976943</v>
      </c>
    </row>
    <row r="46" spans="1:13" hidden="1">
      <c r="A46" s="98">
        <v>440</v>
      </c>
      <c r="B46" s="99">
        <f t="shared" si="1"/>
        <v>17.600000000000001</v>
      </c>
      <c r="C46" s="100">
        <v>6</v>
      </c>
      <c r="D46" s="99">
        <f t="shared" si="2"/>
        <v>23.6</v>
      </c>
      <c r="E46" s="170">
        <f t="shared" si="12"/>
        <v>1627.6956831287564</v>
      </c>
      <c r="F46" s="170">
        <f t="shared" si="13"/>
        <v>355.82415433554803</v>
      </c>
      <c r="G46" s="170">
        <f t="shared" si="11"/>
        <v>1933.7840000000001</v>
      </c>
      <c r="H46" s="170">
        <f t="shared" si="14"/>
        <v>348.47636100000005</v>
      </c>
      <c r="I46" s="170">
        <f t="shared" si="6"/>
        <v>606.93737337004484</v>
      </c>
      <c r="J46" s="170">
        <f t="shared" si="15"/>
        <v>2446.2007272727274</v>
      </c>
      <c r="K46" s="170">
        <f t="shared" si="16"/>
        <v>4632.576</v>
      </c>
      <c r="L46" s="170">
        <f t="shared" si="9"/>
        <v>11951.494299107078</v>
      </c>
      <c r="M46" s="171">
        <f t="shared" si="17"/>
        <v>1.1317702934760492</v>
      </c>
    </row>
    <row r="47" spans="1:13" hidden="1">
      <c r="A47" s="98">
        <v>460</v>
      </c>
      <c r="B47" s="99">
        <f t="shared" si="1"/>
        <v>18.399999999999999</v>
      </c>
      <c r="C47" s="100">
        <v>6</v>
      </c>
      <c r="D47" s="99">
        <f t="shared" si="2"/>
        <v>24.4</v>
      </c>
      <c r="E47" s="170">
        <f t="shared" si="12"/>
        <v>1682.8718079805783</v>
      </c>
      <c r="F47" s="170">
        <f t="shared" si="13"/>
        <v>367.88599007573612</v>
      </c>
      <c r="G47" s="170">
        <f t="shared" si="11"/>
        <v>1999.3359999999998</v>
      </c>
      <c r="H47" s="170">
        <f t="shared" si="14"/>
        <v>360.28911900000003</v>
      </c>
      <c r="I47" s="170">
        <f t="shared" si="6"/>
        <v>634.52543579595579</v>
      </c>
      <c r="J47" s="170">
        <f t="shared" si="15"/>
        <v>2557.3916694214877</v>
      </c>
      <c r="K47" s="170">
        <f t="shared" si="16"/>
        <v>4843.1476363636357</v>
      </c>
      <c r="L47" s="170">
        <f t="shared" si="9"/>
        <v>12445.447658637393</v>
      </c>
      <c r="M47" s="171">
        <f t="shared" si="17"/>
        <v>1.127305041543242</v>
      </c>
    </row>
    <row r="48" spans="1:13" hidden="1">
      <c r="A48" s="98">
        <v>480</v>
      </c>
      <c r="B48" s="99">
        <f t="shared" si="1"/>
        <v>19.2</v>
      </c>
      <c r="C48" s="100">
        <v>6</v>
      </c>
      <c r="D48" s="99">
        <f t="shared" si="2"/>
        <v>25.2</v>
      </c>
      <c r="E48" s="170">
        <f t="shared" si="12"/>
        <v>1738.0479328324009</v>
      </c>
      <c r="F48" s="170">
        <f t="shared" si="13"/>
        <v>379.9478258159242</v>
      </c>
      <c r="G48" s="170">
        <f t="shared" si="11"/>
        <v>2064.8879999999999</v>
      </c>
      <c r="H48" s="170">
        <f t="shared" si="14"/>
        <v>372.101877</v>
      </c>
      <c r="I48" s="170">
        <f t="shared" si="6"/>
        <v>662.11349822186696</v>
      </c>
      <c r="J48" s="170">
        <f t="shared" si="15"/>
        <v>2668.582611570248</v>
      </c>
      <c r="K48" s="170">
        <f t="shared" si="16"/>
        <v>5053.7192727272723</v>
      </c>
      <c r="L48" s="170">
        <f t="shared" si="9"/>
        <v>12939.401018167713</v>
      </c>
      <c r="M48" s="171">
        <f t="shared" si="17"/>
        <v>1.1232118939381694</v>
      </c>
    </row>
    <row r="49" spans="1:17" hidden="1">
      <c r="A49" s="98">
        <v>500</v>
      </c>
      <c r="B49" s="99">
        <f t="shared" si="1"/>
        <v>20</v>
      </c>
      <c r="C49" s="100">
        <v>6</v>
      </c>
      <c r="D49" s="99">
        <f t="shared" si="2"/>
        <v>26</v>
      </c>
      <c r="E49" s="170">
        <f t="shared" si="12"/>
        <v>1793.224057684223</v>
      </c>
      <c r="F49" s="170">
        <f t="shared" si="13"/>
        <v>392.00966155611229</v>
      </c>
      <c r="G49" s="170">
        <f t="shared" si="11"/>
        <v>2130.44</v>
      </c>
      <c r="H49" s="170">
        <f t="shared" si="14"/>
        <v>383.91463500000003</v>
      </c>
      <c r="I49" s="170">
        <f t="shared" si="6"/>
        <v>689.70156064777802</v>
      </c>
      <c r="J49" s="170">
        <f t="shared" si="15"/>
        <v>2779.7735537190083</v>
      </c>
      <c r="K49" s="170">
        <f t="shared" si="16"/>
        <v>5264.2909090909088</v>
      </c>
      <c r="L49" s="170">
        <f t="shared" si="9"/>
        <v>13433.35437769803</v>
      </c>
      <c r="M49" s="171">
        <f>+L49/24/A49</f>
        <v>1.1194461981415025</v>
      </c>
    </row>
    <row r="50" spans="1:17" hidden="1">
      <c r="B50" s="94">
        <f>SUM(B8:B49)</f>
        <v>332.4</v>
      </c>
      <c r="C50" s="169">
        <f t="shared" ref="C50:L50" si="18">SUM(C8:C49)</f>
        <v>220.5</v>
      </c>
      <c r="D50" s="169">
        <f t="shared" si="18"/>
        <v>552.9</v>
      </c>
      <c r="E50" s="169">
        <f t="shared" si="18"/>
        <v>38127.113835054384</v>
      </c>
      <c r="F50" s="169">
        <f t="shared" si="18"/>
        <v>8265.583382212526</v>
      </c>
      <c r="G50" s="169">
        <f t="shared" si="18"/>
        <v>45304.626000000004</v>
      </c>
      <c r="H50" s="169">
        <f t="shared" si="18"/>
        <v>8108.7885342740628</v>
      </c>
      <c r="I50" s="169">
        <f t="shared" si="18"/>
        <v>11460.398478012778</v>
      </c>
      <c r="J50" s="169">
        <f t="shared" si="18"/>
        <v>45093.228743801657</v>
      </c>
      <c r="K50" s="169">
        <f t="shared" si="18"/>
        <v>86991.809057851235</v>
      </c>
      <c r="L50" s="169">
        <f t="shared" si="18"/>
        <v>243351.54803120662</v>
      </c>
      <c r="M50" s="169">
        <f>SUM(M8:M49)</f>
        <v>76.000535936410458</v>
      </c>
      <c r="Q50" s="173"/>
    </row>
    <row r="51" spans="1:17" hidden="1">
      <c r="B51" s="94">
        <v>332.4</v>
      </c>
      <c r="C51" s="169">
        <v>220.5</v>
      </c>
      <c r="D51" s="169">
        <v>552.9</v>
      </c>
      <c r="E51" s="169">
        <v>7260.3240572699997</v>
      </c>
      <c r="F51" s="169">
        <v>1411.7296778025002</v>
      </c>
      <c r="G51" s="169">
        <v>1774.2561000000001</v>
      </c>
      <c r="H51" s="169">
        <v>595.05862500000001</v>
      </c>
      <c r="I51" s="169">
        <v>2190.9100638599998</v>
      </c>
      <c r="J51" s="169">
        <v>5395.1687099999981</v>
      </c>
      <c r="K51" s="169">
        <v>11251.940543999995</v>
      </c>
      <c r="L51" s="169">
        <v>29879.387777932512</v>
      </c>
      <c r="M51" s="169">
        <v>6.9763653633206504</v>
      </c>
      <c r="Q51" s="173"/>
    </row>
    <row r="52" spans="1:17" hidden="1">
      <c r="Q52" s="173"/>
    </row>
    <row r="53" spans="1:17">
      <c r="Q53" s="173"/>
    </row>
    <row r="54" spans="1:17">
      <c r="Q54" s="173"/>
    </row>
    <row r="55" spans="1:17">
      <c r="Q55" s="173"/>
    </row>
    <row r="56" spans="1:17">
      <c r="Q56" s="173"/>
    </row>
    <row r="57" spans="1:17">
      <c r="Q57" s="173"/>
    </row>
    <row r="58" spans="1:17">
      <c r="Q58" s="173"/>
    </row>
    <row r="59" spans="1:17">
      <c r="Q59" s="173"/>
    </row>
    <row r="60" spans="1:17">
      <c r="Q60" s="173"/>
    </row>
    <row r="61" spans="1:17">
      <c r="Q61" s="173"/>
    </row>
    <row r="62" spans="1:17">
      <c r="Q62" s="173"/>
    </row>
    <row r="63" spans="1:17">
      <c r="Q63" s="173"/>
    </row>
    <row r="64" spans="1:17">
      <c r="Q64" s="173"/>
    </row>
    <row r="65" spans="17:17">
      <c r="Q65" s="173"/>
    </row>
    <row r="66" spans="17:17">
      <c r="Q66" s="173"/>
    </row>
    <row r="67" spans="17:17">
      <c r="Q67" s="173"/>
    </row>
    <row r="68" spans="17:17">
      <c r="Q68" s="173"/>
    </row>
    <row r="69" spans="17:17">
      <c r="Q69" s="173"/>
    </row>
    <row r="70" spans="17:17">
      <c r="Q70" s="173"/>
    </row>
    <row r="71" spans="17:17">
      <c r="Q71" s="173"/>
    </row>
    <row r="72" spans="17:17">
      <c r="Q72" s="173"/>
    </row>
    <row r="73" spans="17:17">
      <c r="Q73" s="173"/>
    </row>
    <row r="74" spans="17:17">
      <c r="Q74" s="173"/>
    </row>
    <row r="75" spans="17:17">
      <c r="Q75" s="173"/>
    </row>
    <row r="76" spans="17:17">
      <c r="Q76" s="173"/>
    </row>
    <row r="77" spans="17:17">
      <c r="Q77" s="173"/>
    </row>
    <row r="78" spans="17:17">
      <c r="Q78" s="173"/>
    </row>
    <row r="79" spans="17:17">
      <c r="Q79" s="173"/>
    </row>
    <row r="80" spans="17:17">
      <c r="Q80" s="173"/>
    </row>
    <row r="81" spans="17:17">
      <c r="Q81" s="173"/>
    </row>
    <row r="82" spans="17:17">
      <c r="Q82" s="173"/>
    </row>
    <row r="83" spans="17:17">
      <c r="Q83" s="173"/>
    </row>
    <row r="84" spans="17:17">
      <c r="Q84" s="173"/>
    </row>
    <row r="85" spans="17:17">
      <c r="Q85" s="173"/>
    </row>
    <row r="86" spans="17:17">
      <c r="Q86" s="173"/>
    </row>
    <row r="87" spans="17:17">
      <c r="Q87" s="173"/>
    </row>
    <row r="88" spans="17:17">
      <c r="Q88" s="173"/>
    </row>
    <row r="89" spans="17:17">
      <c r="Q89" s="173"/>
    </row>
    <row r="90" spans="17:17">
      <c r="Q90" s="173"/>
    </row>
    <row r="91" spans="17:17">
      <c r="Q91" s="173"/>
    </row>
    <row r="92" spans="17:17">
      <c r="Q92" s="173"/>
    </row>
    <row r="93" spans="17:17">
      <c r="Q93" s="173"/>
    </row>
  </sheetData>
  <customSheetViews>
    <customSheetView guid="{D8392041-DA66-4755-A670-C1D45774EC77}" scale="90" showRuler="0">
      <selection activeCell="E9" sqref="E9"/>
      <pageMargins left="0.78740157480314965" right="0.78740157480314965" top="0.98425196850393704" bottom="0.98425196850393704" header="0" footer="0"/>
      <printOptions horizontalCentered="1"/>
      <pageSetup paperSize="9" orientation="portrait" r:id="rId1"/>
      <headerFooter alignWithMargins="0"/>
    </customSheetView>
  </customSheetViews>
  <phoneticPr fontId="0" type="noConversion"/>
  <printOptions horizontalCentered="1"/>
  <pageMargins left="0.94488188976377963" right="0.43307086614173229" top="1.3385826771653544" bottom="0.19685039370078741" header="0" footer="0"/>
  <pageSetup paperSize="9" scale="80" orientation="portrait" r:id="rId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topLeftCell="K1" zoomScale="85" workbookViewId="0">
      <selection activeCell="K3" sqref="K3"/>
    </sheetView>
  </sheetViews>
  <sheetFormatPr baseColWidth="10" defaultRowHeight="15"/>
  <cols>
    <col min="1" max="1" width="9" style="95" hidden="1" customWidth="1"/>
    <col min="2" max="2" width="7.77734375" hidden="1" customWidth="1"/>
    <col min="3" max="3" width="9" style="95" hidden="1" customWidth="1"/>
    <col min="4" max="4" width="9" hidden="1" customWidth="1"/>
    <col min="5" max="5" width="9" style="95" hidden="1" customWidth="1"/>
    <col min="6" max="6" width="6" hidden="1" customWidth="1"/>
    <col min="7" max="7" width="9" hidden="1" customWidth="1"/>
    <col min="8" max="8" width="10.88671875" hidden="1" customWidth="1"/>
    <col min="9" max="10" width="0" hidden="1" customWidth="1"/>
  </cols>
  <sheetData>
    <row r="1" spans="1:10" ht="15.75" thickBot="1">
      <c r="C1" s="95" t="s">
        <v>1207</v>
      </c>
    </row>
    <row r="2" spans="1:10" ht="15.75" thickBot="1">
      <c r="A2" s="103">
        <v>36341</v>
      </c>
      <c r="B2" s="108" t="s">
        <v>1203</v>
      </c>
      <c r="C2" s="104">
        <v>36372</v>
      </c>
      <c r="D2" s="108" t="s">
        <v>1203</v>
      </c>
      <c r="E2" s="104" t="s">
        <v>1206</v>
      </c>
      <c r="F2" s="111" t="s">
        <v>1203</v>
      </c>
      <c r="G2" s="104">
        <v>36433</v>
      </c>
      <c r="H2" s="108" t="s">
        <v>1203</v>
      </c>
      <c r="I2" s="104">
        <v>36464</v>
      </c>
      <c r="J2" s="108" t="s">
        <v>1203</v>
      </c>
    </row>
    <row r="3" spans="1:10">
      <c r="A3" s="105">
        <v>1</v>
      </c>
      <c r="B3" s="109">
        <v>2.77</v>
      </c>
      <c r="C3" s="107">
        <v>1</v>
      </c>
      <c r="D3" s="109">
        <v>2.96</v>
      </c>
      <c r="E3" s="107">
        <v>1</v>
      </c>
      <c r="F3" s="112">
        <v>2.98</v>
      </c>
      <c r="G3" s="107">
        <v>1</v>
      </c>
      <c r="H3" s="109">
        <v>2.92</v>
      </c>
      <c r="I3" s="107">
        <v>1</v>
      </c>
      <c r="J3" s="109"/>
    </row>
    <row r="4" spans="1:10">
      <c r="A4" s="106">
        <v>2</v>
      </c>
      <c r="B4" s="110">
        <v>2.77</v>
      </c>
      <c r="C4" s="98">
        <v>2</v>
      </c>
      <c r="D4" s="110"/>
      <c r="E4" s="98">
        <v>2</v>
      </c>
      <c r="F4" s="113">
        <v>2.99</v>
      </c>
      <c r="G4" s="98">
        <v>2</v>
      </c>
      <c r="H4" s="110">
        <v>2.92</v>
      </c>
      <c r="I4" s="98">
        <v>2</v>
      </c>
      <c r="J4" s="110"/>
    </row>
    <row r="5" spans="1:10">
      <c r="A5" s="106">
        <v>3</v>
      </c>
      <c r="B5" s="110">
        <v>2.77</v>
      </c>
      <c r="C5" s="98">
        <v>3</v>
      </c>
      <c r="D5" s="110"/>
      <c r="E5" s="98">
        <v>3</v>
      </c>
      <c r="F5" s="113">
        <v>2.99</v>
      </c>
      <c r="G5" s="98">
        <v>3</v>
      </c>
      <c r="H5" s="110">
        <v>2.91</v>
      </c>
      <c r="I5" s="98">
        <v>3</v>
      </c>
      <c r="J5" s="110">
        <v>2.86</v>
      </c>
    </row>
    <row r="6" spans="1:10">
      <c r="A6" s="106">
        <v>4</v>
      </c>
      <c r="B6" s="110">
        <v>2.77</v>
      </c>
      <c r="C6" s="98">
        <v>4</v>
      </c>
      <c r="D6" s="110">
        <v>2.98</v>
      </c>
      <c r="E6" s="98">
        <v>4</v>
      </c>
      <c r="F6" s="113">
        <v>2.98</v>
      </c>
      <c r="G6" s="98">
        <v>4</v>
      </c>
      <c r="H6" s="110"/>
      <c r="I6" s="98">
        <v>4</v>
      </c>
      <c r="J6" s="110">
        <v>2.87</v>
      </c>
    </row>
    <row r="7" spans="1:10">
      <c r="A7" s="106">
        <v>5</v>
      </c>
      <c r="B7" s="110"/>
      <c r="C7" s="98">
        <v>5</v>
      </c>
      <c r="D7" s="110">
        <v>2.95</v>
      </c>
      <c r="E7" s="98">
        <v>5</v>
      </c>
      <c r="F7" s="113">
        <v>2.94</v>
      </c>
      <c r="G7" s="98">
        <v>5</v>
      </c>
      <c r="H7" s="110"/>
      <c r="I7" s="98">
        <v>5</v>
      </c>
      <c r="J7" s="110">
        <v>2.87</v>
      </c>
    </row>
    <row r="8" spans="1:10">
      <c r="A8" s="106">
        <v>6</v>
      </c>
      <c r="B8" s="110"/>
      <c r="C8" s="98">
        <v>6</v>
      </c>
      <c r="D8" s="110">
        <v>2.95</v>
      </c>
      <c r="E8" s="98">
        <v>6</v>
      </c>
      <c r="F8" s="113"/>
      <c r="G8" s="98">
        <v>6</v>
      </c>
      <c r="H8" s="110">
        <v>2.91</v>
      </c>
      <c r="I8" s="98">
        <v>6</v>
      </c>
      <c r="J8" s="110">
        <v>2.87</v>
      </c>
    </row>
    <row r="9" spans="1:10">
      <c r="A9" s="106">
        <v>7</v>
      </c>
      <c r="B9" s="110">
        <v>2.76</v>
      </c>
      <c r="C9" s="98">
        <v>7</v>
      </c>
      <c r="D9" s="110">
        <v>2.95</v>
      </c>
      <c r="E9" s="98">
        <v>7</v>
      </c>
      <c r="F9" s="113"/>
      <c r="G9" s="98">
        <v>7</v>
      </c>
      <c r="H9" s="110">
        <v>2.89</v>
      </c>
      <c r="I9" s="98">
        <v>7</v>
      </c>
      <c r="J9" s="110">
        <v>2.86</v>
      </c>
    </row>
    <row r="10" spans="1:10">
      <c r="A10" s="106">
        <v>8</v>
      </c>
      <c r="B10" s="110">
        <v>2.76</v>
      </c>
      <c r="C10" s="98">
        <v>8</v>
      </c>
      <c r="D10" s="110">
        <v>2.94</v>
      </c>
      <c r="E10" s="98">
        <v>8</v>
      </c>
      <c r="F10" s="113">
        <v>2.96</v>
      </c>
      <c r="G10" s="98">
        <v>8</v>
      </c>
      <c r="H10" s="110">
        <v>2.88</v>
      </c>
      <c r="I10" s="98">
        <v>8</v>
      </c>
      <c r="J10" s="110"/>
    </row>
    <row r="11" spans="1:10">
      <c r="A11" s="106">
        <v>9</v>
      </c>
      <c r="B11" s="110">
        <v>2.76</v>
      </c>
      <c r="C11" s="98">
        <v>9</v>
      </c>
      <c r="D11" s="110"/>
      <c r="E11" s="98">
        <v>9</v>
      </c>
      <c r="F11" s="113">
        <v>2.96</v>
      </c>
      <c r="G11" s="98">
        <v>9</v>
      </c>
      <c r="H11" s="110">
        <v>2.86</v>
      </c>
      <c r="I11" s="98">
        <v>9</v>
      </c>
      <c r="J11" s="110"/>
    </row>
    <row r="12" spans="1:10">
      <c r="A12" s="106">
        <v>10</v>
      </c>
      <c r="B12" s="110">
        <v>2.74</v>
      </c>
      <c r="C12" s="98">
        <v>10</v>
      </c>
      <c r="D12" s="110"/>
      <c r="E12" s="98">
        <v>10</v>
      </c>
      <c r="F12" s="113">
        <v>2.96</v>
      </c>
      <c r="G12" s="98">
        <v>10</v>
      </c>
      <c r="H12" s="110">
        <v>2.86</v>
      </c>
      <c r="I12" s="98">
        <v>10</v>
      </c>
      <c r="J12" s="110">
        <v>2.86</v>
      </c>
    </row>
    <row r="13" spans="1:10">
      <c r="A13" s="106">
        <v>11</v>
      </c>
      <c r="B13" s="110">
        <v>2.75</v>
      </c>
      <c r="C13" s="98">
        <v>11</v>
      </c>
      <c r="D13" s="110">
        <v>2.93</v>
      </c>
      <c r="E13" s="98">
        <v>11</v>
      </c>
      <c r="F13" s="113">
        <v>2.92</v>
      </c>
      <c r="G13" s="98">
        <v>11</v>
      </c>
      <c r="H13" s="110"/>
      <c r="I13" s="98">
        <v>11</v>
      </c>
      <c r="J13" s="110">
        <v>2.87</v>
      </c>
    </row>
    <row r="14" spans="1:10">
      <c r="A14" s="106">
        <v>12</v>
      </c>
      <c r="B14" s="110"/>
      <c r="C14" s="98">
        <v>12</v>
      </c>
      <c r="D14" s="110">
        <v>2.92</v>
      </c>
      <c r="E14" s="98">
        <v>12</v>
      </c>
      <c r="F14" s="113">
        <v>2.92</v>
      </c>
      <c r="G14" s="98">
        <v>12</v>
      </c>
      <c r="H14" s="110"/>
      <c r="I14" s="98">
        <v>12</v>
      </c>
      <c r="J14" s="110">
        <v>2.87</v>
      </c>
    </row>
    <row r="15" spans="1:10">
      <c r="A15" s="106">
        <v>13</v>
      </c>
      <c r="B15" s="110"/>
      <c r="C15" s="98">
        <v>13</v>
      </c>
      <c r="D15" s="110">
        <v>2.91</v>
      </c>
      <c r="E15" s="98">
        <v>13</v>
      </c>
      <c r="F15" s="113"/>
      <c r="G15" s="98">
        <v>13</v>
      </c>
      <c r="H15" s="110"/>
      <c r="I15" s="98">
        <v>13</v>
      </c>
      <c r="J15" s="110">
        <v>2.86</v>
      </c>
    </row>
    <row r="16" spans="1:10">
      <c r="A16" s="106">
        <v>14</v>
      </c>
      <c r="B16" s="110">
        <v>2.75</v>
      </c>
      <c r="C16" s="98">
        <v>14</v>
      </c>
      <c r="D16" s="110">
        <v>2.92</v>
      </c>
      <c r="E16" s="98">
        <v>14</v>
      </c>
      <c r="F16" s="113"/>
      <c r="G16" s="98">
        <v>14</v>
      </c>
      <c r="H16" s="110">
        <v>2.86</v>
      </c>
      <c r="I16" s="98">
        <v>14</v>
      </c>
      <c r="J16" s="110">
        <v>2.88</v>
      </c>
    </row>
    <row r="17" spans="1:10">
      <c r="A17" s="106">
        <v>15</v>
      </c>
      <c r="B17" s="110">
        <v>2.75</v>
      </c>
      <c r="C17" s="98">
        <v>15</v>
      </c>
      <c r="D17" s="110">
        <v>2.91</v>
      </c>
      <c r="E17" s="98">
        <v>15</v>
      </c>
      <c r="F17" s="113">
        <v>2.91</v>
      </c>
      <c r="G17" s="98">
        <v>15</v>
      </c>
      <c r="H17" s="110">
        <v>2.86</v>
      </c>
      <c r="I17" s="98">
        <v>15</v>
      </c>
      <c r="J17" s="110"/>
    </row>
    <row r="18" spans="1:10">
      <c r="A18" s="106">
        <v>16</v>
      </c>
      <c r="B18" s="110">
        <v>2.76</v>
      </c>
      <c r="C18" s="98">
        <v>16</v>
      </c>
      <c r="D18" s="110"/>
      <c r="E18" s="98">
        <v>16</v>
      </c>
      <c r="F18" s="113">
        <v>2.91</v>
      </c>
      <c r="G18" s="98">
        <v>16</v>
      </c>
      <c r="H18" s="110">
        <v>2.86</v>
      </c>
      <c r="I18" s="98">
        <v>16</v>
      </c>
      <c r="J18" s="110"/>
    </row>
    <row r="19" spans="1:10">
      <c r="A19" s="106">
        <v>17</v>
      </c>
      <c r="B19" s="110">
        <v>2.77</v>
      </c>
      <c r="C19" s="98">
        <v>17</v>
      </c>
      <c r="D19" s="110"/>
      <c r="E19" s="98">
        <v>17</v>
      </c>
      <c r="F19" s="113">
        <v>2.93</v>
      </c>
      <c r="G19" s="98">
        <v>17</v>
      </c>
      <c r="H19" s="110">
        <v>2.86</v>
      </c>
      <c r="I19" s="98">
        <v>17</v>
      </c>
      <c r="J19" s="110">
        <v>2.88</v>
      </c>
    </row>
    <row r="20" spans="1:10">
      <c r="A20" s="106">
        <v>18</v>
      </c>
      <c r="B20" s="110">
        <v>2.78</v>
      </c>
      <c r="C20" s="98">
        <v>18</v>
      </c>
      <c r="D20" s="110">
        <v>2.91</v>
      </c>
      <c r="E20" s="98">
        <v>18</v>
      </c>
      <c r="F20" s="113">
        <v>2.93</v>
      </c>
      <c r="G20" s="98">
        <v>18</v>
      </c>
      <c r="H20" s="110"/>
      <c r="I20" s="98">
        <v>18</v>
      </c>
      <c r="J20" s="110">
        <v>2.87</v>
      </c>
    </row>
    <row r="21" spans="1:10">
      <c r="A21" s="106">
        <v>19</v>
      </c>
      <c r="B21" s="110"/>
      <c r="C21" s="98">
        <v>19</v>
      </c>
      <c r="D21" s="110">
        <v>2.92</v>
      </c>
      <c r="E21" s="98">
        <v>19</v>
      </c>
      <c r="F21" s="113">
        <v>2.93</v>
      </c>
      <c r="G21" s="98">
        <v>19</v>
      </c>
      <c r="H21" s="110"/>
      <c r="I21" s="98">
        <v>19</v>
      </c>
      <c r="J21" s="110">
        <v>2.89</v>
      </c>
    </row>
    <row r="22" spans="1:10">
      <c r="A22" s="106">
        <v>20</v>
      </c>
      <c r="B22" s="110"/>
      <c r="C22" s="98">
        <v>20</v>
      </c>
      <c r="D22" s="110">
        <v>2.93</v>
      </c>
      <c r="E22" s="98">
        <v>20</v>
      </c>
      <c r="F22" s="113"/>
      <c r="G22" s="98">
        <v>20</v>
      </c>
      <c r="H22" s="110">
        <v>2.86</v>
      </c>
      <c r="I22" s="98">
        <v>20</v>
      </c>
      <c r="J22" s="110">
        <v>2.89</v>
      </c>
    </row>
    <row r="23" spans="1:10">
      <c r="A23" s="106">
        <v>21</v>
      </c>
      <c r="B23" s="110">
        <v>2.77</v>
      </c>
      <c r="C23" s="98">
        <v>21</v>
      </c>
      <c r="D23" s="110">
        <v>2.97</v>
      </c>
      <c r="E23" s="98">
        <v>21</v>
      </c>
      <c r="F23" s="113"/>
      <c r="G23" s="98">
        <v>21</v>
      </c>
      <c r="H23" s="110">
        <v>2.87</v>
      </c>
      <c r="I23" s="98">
        <v>21</v>
      </c>
      <c r="J23" s="110">
        <v>2.9</v>
      </c>
    </row>
    <row r="24" spans="1:10">
      <c r="A24" s="106">
        <v>22</v>
      </c>
      <c r="B24" s="110">
        <v>2.76</v>
      </c>
      <c r="C24" s="98">
        <v>22</v>
      </c>
      <c r="D24" s="110">
        <v>2.97</v>
      </c>
      <c r="E24" s="98">
        <v>22</v>
      </c>
      <c r="F24" s="113">
        <v>2.92</v>
      </c>
      <c r="G24" s="98">
        <v>22</v>
      </c>
      <c r="H24" s="110">
        <v>2.86</v>
      </c>
      <c r="I24" s="98">
        <v>22</v>
      </c>
      <c r="J24" s="110"/>
    </row>
    <row r="25" spans="1:10">
      <c r="A25" s="106">
        <v>23</v>
      </c>
      <c r="B25" s="110">
        <v>2.76</v>
      </c>
      <c r="C25" s="98">
        <v>23</v>
      </c>
      <c r="D25" s="110"/>
      <c r="E25" s="98">
        <v>23</v>
      </c>
      <c r="F25" s="113">
        <v>2.92</v>
      </c>
      <c r="G25" s="98">
        <v>23</v>
      </c>
      <c r="H25" s="110">
        <v>2.86</v>
      </c>
      <c r="I25" s="98">
        <v>23</v>
      </c>
      <c r="J25" s="110"/>
    </row>
    <row r="26" spans="1:10">
      <c r="A26" s="106">
        <v>24</v>
      </c>
      <c r="B26" s="110">
        <v>2.78</v>
      </c>
      <c r="C26" s="98">
        <v>24</v>
      </c>
      <c r="D26" s="110"/>
      <c r="E26" s="98">
        <v>24</v>
      </c>
      <c r="F26" s="113">
        <v>2.92</v>
      </c>
      <c r="G26" s="98">
        <v>24</v>
      </c>
      <c r="H26" s="110">
        <v>2.86</v>
      </c>
      <c r="I26" s="98">
        <v>24</v>
      </c>
      <c r="J26" s="110">
        <v>2.9</v>
      </c>
    </row>
    <row r="27" spans="1:10">
      <c r="A27" s="106">
        <v>25</v>
      </c>
      <c r="B27" s="110">
        <v>2.79</v>
      </c>
      <c r="C27" s="98">
        <v>25</v>
      </c>
      <c r="D27" s="110">
        <v>2.94</v>
      </c>
      <c r="E27" s="98">
        <v>25</v>
      </c>
      <c r="F27" s="113">
        <v>2.91</v>
      </c>
      <c r="G27" s="98">
        <v>25</v>
      </c>
      <c r="H27" s="110"/>
      <c r="I27" s="98">
        <v>25</v>
      </c>
      <c r="J27" s="110">
        <v>2.93</v>
      </c>
    </row>
    <row r="28" spans="1:10">
      <c r="A28" s="106">
        <v>26</v>
      </c>
      <c r="B28" s="110"/>
      <c r="C28" s="98">
        <v>26</v>
      </c>
      <c r="D28" s="110">
        <v>2.96</v>
      </c>
      <c r="E28" s="98">
        <v>26</v>
      </c>
      <c r="F28" s="113">
        <v>2.92</v>
      </c>
      <c r="G28" s="98">
        <v>26</v>
      </c>
      <c r="H28" s="110"/>
      <c r="I28" s="98">
        <v>26</v>
      </c>
      <c r="J28" s="110">
        <v>2.98</v>
      </c>
    </row>
    <row r="29" spans="1:10">
      <c r="A29" s="106">
        <v>27</v>
      </c>
      <c r="B29" s="110"/>
      <c r="C29" s="98">
        <v>27</v>
      </c>
      <c r="D29" s="110">
        <v>2.98</v>
      </c>
      <c r="E29" s="98">
        <v>27</v>
      </c>
      <c r="F29" s="113"/>
      <c r="G29" s="98">
        <v>27</v>
      </c>
      <c r="H29" s="110">
        <v>2.85</v>
      </c>
      <c r="I29" s="98">
        <v>27</v>
      </c>
      <c r="J29" s="110">
        <v>2.97</v>
      </c>
    </row>
    <row r="30" spans="1:10">
      <c r="A30" s="106">
        <v>28</v>
      </c>
      <c r="B30" s="110">
        <v>2.81</v>
      </c>
      <c r="C30" s="98">
        <v>28</v>
      </c>
      <c r="D30" s="110">
        <v>2.97</v>
      </c>
      <c r="E30" s="98">
        <v>28</v>
      </c>
      <c r="F30" s="113"/>
      <c r="G30" s="98">
        <v>28</v>
      </c>
      <c r="H30" s="110">
        <v>2.87</v>
      </c>
      <c r="I30" s="98">
        <v>28</v>
      </c>
      <c r="J30" s="110">
        <v>2.99</v>
      </c>
    </row>
    <row r="31" spans="1:10">
      <c r="A31" s="106">
        <v>29</v>
      </c>
      <c r="B31" s="110">
        <v>2.82</v>
      </c>
      <c r="C31" s="98">
        <v>29</v>
      </c>
      <c r="D31" s="110">
        <v>2.97</v>
      </c>
      <c r="E31" s="98">
        <v>29</v>
      </c>
      <c r="F31" s="113">
        <v>2.92</v>
      </c>
      <c r="G31" s="98">
        <v>29</v>
      </c>
      <c r="H31" s="110">
        <v>2.87</v>
      </c>
      <c r="I31" s="98">
        <v>29</v>
      </c>
      <c r="J31" s="110"/>
    </row>
    <row r="32" spans="1:10">
      <c r="A32" s="106">
        <v>30</v>
      </c>
      <c r="B32" s="110">
        <v>2.87</v>
      </c>
      <c r="C32" s="98">
        <v>30</v>
      </c>
      <c r="D32" s="110"/>
      <c r="E32" s="98">
        <v>30</v>
      </c>
      <c r="F32" s="113">
        <v>2.93</v>
      </c>
      <c r="G32" s="98">
        <v>30</v>
      </c>
      <c r="H32" s="110">
        <v>2.87</v>
      </c>
      <c r="I32" s="98">
        <v>30</v>
      </c>
      <c r="J32" s="110"/>
    </row>
    <row r="33" spans="1:10" ht="15.75" thickBot="1">
      <c r="A33" s="114">
        <v>31</v>
      </c>
      <c r="B33" s="115">
        <v>2.9</v>
      </c>
      <c r="C33" s="116">
        <v>31</v>
      </c>
      <c r="D33" s="115"/>
      <c r="E33" s="116"/>
      <c r="F33" s="117"/>
      <c r="G33" s="116">
        <v>31</v>
      </c>
      <c r="H33" s="115">
        <v>2.88</v>
      </c>
      <c r="I33" s="116">
        <v>31</v>
      </c>
      <c r="J33" s="115"/>
    </row>
    <row r="34" spans="1:10" ht="15.75" thickBot="1">
      <c r="A34" s="118" t="s">
        <v>1204</v>
      </c>
      <c r="B34" s="119">
        <f>AVERAGE(B3:B33)</f>
        <v>2.7791304347826089</v>
      </c>
      <c r="C34" s="120" t="s">
        <v>1204</v>
      </c>
      <c r="D34" s="119">
        <f>AVERAGE(D3:D33)</f>
        <v>2.9447619047619038</v>
      </c>
      <c r="E34" s="120" t="s">
        <v>1204</v>
      </c>
      <c r="F34" s="121">
        <f>AVERAGE(F3:F32)</f>
        <v>2.9386363636363644</v>
      </c>
      <c r="G34" s="120" t="s">
        <v>1204</v>
      </c>
      <c r="H34" s="119">
        <f>AVERAGE(H3:H33)</f>
        <v>2.8745454545454541</v>
      </c>
      <c r="I34" s="120" t="s">
        <v>1204</v>
      </c>
      <c r="J34" s="119">
        <f>AVERAGE(J3:J33)</f>
        <v>2.8935</v>
      </c>
    </row>
    <row r="39" spans="1:10">
      <c r="A39" t="s">
        <v>1205</v>
      </c>
      <c r="B39" s="95" t="s">
        <v>1225</v>
      </c>
      <c r="C39" s="95" t="s">
        <v>1224</v>
      </c>
      <c r="D39" s="95" t="s">
        <v>1223</v>
      </c>
      <c r="E39" s="95" t="s">
        <v>1226</v>
      </c>
    </row>
    <row r="40" spans="1:10">
      <c r="A40" s="92">
        <f>B34</f>
        <v>2.7791304347826089</v>
      </c>
      <c r="B40" s="92">
        <f>D34</f>
        <v>2.9447619047619038</v>
      </c>
      <c r="C40" s="92">
        <f>F34</f>
        <v>2.9386363636363644</v>
      </c>
      <c r="D40" s="92">
        <f>H34</f>
        <v>2.8745454545454541</v>
      </c>
      <c r="E40" s="124">
        <f>J34</f>
        <v>2.8935</v>
      </c>
    </row>
    <row r="41" spans="1:10">
      <c r="A41"/>
      <c r="B41" s="122">
        <f>B40/A40</f>
        <v>1.0595983074080693</v>
      </c>
      <c r="C41" s="122">
        <f>C40/A40</f>
        <v>1.0573941859142111</v>
      </c>
      <c r="D41">
        <f>D40/A40</f>
        <v>1.0343326885880075</v>
      </c>
      <c r="E41" s="95">
        <f>E40/A40</f>
        <v>1.0411530037546932</v>
      </c>
    </row>
    <row r="42" spans="1:10">
      <c r="D42">
        <v>1.0343326885880075</v>
      </c>
      <c r="E42" s="95">
        <v>1.0411530037546932</v>
      </c>
    </row>
  </sheetData>
  <customSheetViews>
    <customSheetView guid="{D8392041-DA66-4755-A670-C1D45774EC77}" showRuler="0" topLeftCell="C22">
      <selection activeCell="E42" sqref="E42"/>
      <pageMargins left="0.75" right="0.75" top="1" bottom="1" header="0" footer="0"/>
      <headerFooter alignWithMargins="0"/>
    </customSheetView>
  </customSheetView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5">
    <tabColor indexed="38"/>
    <pageSetUpPr fitToPage="1"/>
  </sheetPr>
  <dimension ref="A1:W49"/>
  <sheetViews>
    <sheetView showGridLines="0" showZeros="0" showOutlineSymbols="0" topLeftCell="A2" workbookViewId="0">
      <selection activeCell="L7" sqref="L7"/>
    </sheetView>
  </sheetViews>
  <sheetFormatPr baseColWidth="10" defaultColWidth="6.5546875" defaultRowHeight="12.95" customHeight="1"/>
  <cols>
    <col min="1" max="1" width="6.109375" style="16" customWidth="1"/>
    <col min="2" max="2" width="21.44140625" style="16" customWidth="1"/>
    <col min="3" max="3" width="9.21875" style="16" customWidth="1"/>
    <col min="4" max="4" width="8.5546875" style="16" customWidth="1"/>
    <col min="5" max="5" width="7.33203125" style="16" customWidth="1"/>
    <col min="6" max="6" width="11.21875" style="16" bestFit="1" customWidth="1"/>
    <col min="7" max="7" width="6.44140625" style="16" customWidth="1"/>
    <col min="8" max="8" width="11.21875" style="16" bestFit="1" customWidth="1"/>
    <col min="9" max="9" width="5.44140625" style="16" customWidth="1"/>
    <col min="10" max="10" width="7" style="16" bestFit="1" customWidth="1"/>
    <col min="11" max="11" width="10.5546875" style="16" bestFit="1" customWidth="1"/>
    <col min="12" max="12" width="6.5546875" style="16" customWidth="1"/>
    <col min="13" max="13" width="7.44140625" style="16" customWidth="1"/>
    <col min="14" max="16" width="6.5546875" style="16" customWidth="1"/>
    <col min="17" max="17" width="7.88671875" style="16" customWidth="1"/>
    <col min="18" max="21" width="6.5546875" style="16" customWidth="1"/>
    <col min="22" max="22" width="29.33203125" style="16" hidden="1" customWidth="1"/>
    <col min="23" max="23" width="6.5546875" style="16" hidden="1" customWidth="1"/>
    <col min="24" max="16384" width="6.5546875" style="16"/>
  </cols>
  <sheetData>
    <row r="1" spans="1:23" ht="20.45" hidden="1" customHeight="1">
      <c r="A1" s="439" t="s">
        <v>339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</row>
    <row r="2" spans="1:23" ht="22.15" customHeight="1">
      <c r="A2" s="451" t="s">
        <v>122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</row>
    <row r="3" spans="1:23" ht="17.45" customHeight="1" thickBot="1">
      <c r="B3" s="17"/>
      <c r="C3" s="17"/>
      <c r="D3" s="17"/>
      <c r="E3" s="17"/>
      <c r="F3" s="17"/>
      <c r="G3" s="17"/>
      <c r="H3" s="17"/>
      <c r="I3" s="17"/>
      <c r="J3" s="17"/>
      <c r="K3" s="18"/>
      <c r="P3" s="30" t="s">
        <v>271</v>
      </c>
      <c r="Q3" s="16" t="str">
        <f>Fecha</f>
        <v>Oct-14</v>
      </c>
    </row>
    <row r="4" spans="1:23" ht="12.95" customHeight="1" thickBot="1">
      <c r="A4" s="448" t="s">
        <v>140</v>
      </c>
      <c r="B4" s="442" t="s">
        <v>123</v>
      </c>
      <c r="C4" s="442" t="s">
        <v>124</v>
      </c>
      <c r="D4" s="442" t="s">
        <v>125</v>
      </c>
      <c r="E4" s="442" t="s">
        <v>126</v>
      </c>
      <c r="F4" s="442" t="s">
        <v>127</v>
      </c>
      <c r="G4" s="442" t="s">
        <v>128</v>
      </c>
      <c r="H4" s="454" t="s">
        <v>129</v>
      </c>
      <c r="I4" s="455"/>
      <c r="J4" s="454" t="s">
        <v>130</v>
      </c>
      <c r="K4" s="455"/>
      <c r="L4" s="456" t="s">
        <v>131</v>
      </c>
      <c r="M4" s="457"/>
      <c r="N4" s="457"/>
      <c r="O4" s="457"/>
      <c r="P4" s="458"/>
      <c r="Q4" s="452" t="s">
        <v>132</v>
      </c>
      <c r="V4" s="21" t="s">
        <v>239</v>
      </c>
    </row>
    <row r="5" spans="1:23" ht="29.45" customHeight="1">
      <c r="A5" s="449"/>
      <c r="B5" s="446"/>
      <c r="C5" s="443"/>
      <c r="D5" s="443"/>
      <c r="E5" s="443"/>
      <c r="F5" s="443"/>
      <c r="G5" s="443"/>
      <c r="H5" s="37" t="s">
        <v>167</v>
      </c>
      <c r="I5" s="37" t="s">
        <v>133</v>
      </c>
      <c r="J5" s="37" t="s">
        <v>168</v>
      </c>
      <c r="K5" s="37" t="s">
        <v>134</v>
      </c>
      <c r="L5" s="37" t="s">
        <v>135</v>
      </c>
      <c r="M5" s="38" t="s">
        <v>136</v>
      </c>
      <c r="N5" s="38" t="s">
        <v>137</v>
      </c>
      <c r="O5" s="38" t="s">
        <v>138</v>
      </c>
      <c r="P5" s="38" t="s">
        <v>139</v>
      </c>
      <c r="Q5" s="453"/>
      <c r="V5" s="444" t="s">
        <v>240</v>
      </c>
      <c r="W5" s="22" t="s">
        <v>125</v>
      </c>
    </row>
    <row r="6" spans="1:23" ht="15.6" customHeight="1" thickBot="1">
      <c r="A6" s="450"/>
      <c r="B6" s="447"/>
      <c r="C6" s="39" t="s">
        <v>5</v>
      </c>
      <c r="D6" s="39" t="s">
        <v>169</v>
      </c>
      <c r="E6" s="39" t="s">
        <v>170</v>
      </c>
      <c r="F6" s="39" t="s">
        <v>5</v>
      </c>
      <c r="G6" s="39" t="s">
        <v>1853</v>
      </c>
      <c r="H6" s="39" t="s">
        <v>1863</v>
      </c>
      <c r="I6" s="39" t="s">
        <v>1863</v>
      </c>
      <c r="J6" s="39" t="s">
        <v>171</v>
      </c>
      <c r="K6" s="39" t="s">
        <v>171</v>
      </c>
      <c r="L6" s="39" t="s">
        <v>171</v>
      </c>
      <c r="M6" s="39" t="s">
        <v>171</v>
      </c>
      <c r="N6" s="39" t="s">
        <v>171</v>
      </c>
      <c r="O6" s="39" t="s">
        <v>171</v>
      </c>
      <c r="P6" s="39" t="s">
        <v>171</v>
      </c>
      <c r="Q6" s="40" t="s">
        <v>171</v>
      </c>
      <c r="V6" s="445"/>
      <c r="W6" s="23" t="s">
        <v>1863</v>
      </c>
    </row>
    <row r="7" spans="1:23" ht="16.350000000000001" customHeight="1" thickTop="1" thickBot="1">
      <c r="A7" s="150" t="s">
        <v>1858</v>
      </c>
      <c r="B7" s="151" t="s">
        <v>1478</v>
      </c>
      <c r="C7" s="151">
        <f>VLOOKUP(A7,'IN-10-14'!A6:D880,4,FALSE)</f>
        <v>1230748.494155</v>
      </c>
      <c r="D7" s="152">
        <v>10000</v>
      </c>
      <c r="E7" s="153">
        <v>87</v>
      </c>
      <c r="F7" s="153">
        <f>VLOOKUP(A30,'IN-10-14'!A112:D112,4)</f>
        <v>9.5867768595041323</v>
      </c>
      <c r="G7" s="154">
        <v>0.122</v>
      </c>
      <c r="H7" s="155">
        <f>VLOOKUP(A21,A21:D28,4,FALSE)</f>
        <v>81.94</v>
      </c>
      <c r="I7" s="155">
        <f>VLOOKUP(A24,A21:D28,4)</f>
        <v>59.18</v>
      </c>
      <c r="J7" s="156">
        <f>(C7*0.5)/D7</f>
        <v>61.537424707749999</v>
      </c>
      <c r="K7" s="157">
        <f>C7*G7*(((D7/2000)+1)/(2*D7/2000))/2000</f>
        <v>45.045394886072998</v>
      </c>
      <c r="L7" s="157">
        <f>ROUND(0.02*C7,2)/2000</f>
        <v>12.307485</v>
      </c>
      <c r="M7" s="158">
        <f>+E7*F7*0.15</f>
        <v>125.10743801652893</v>
      </c>
      <c r="N7" s="158">
        <f>0.3*M7</f>
        <v>37.532231404958679</v>
      </c>
      <c r="O7" s="158">
        <f>0.6*J7</f>
        <v>36.922454824649996</v>
      </c>
      <c r="P7" s="158">
        <f>H7+I7</f>
        <v>141.12</v>
      </c>
      <c r="Q7" s="159">
        <f>SUM(J7:P7)</f>
        <v>459.57242883996059</v>
      </c>
      <c r="R7" s="434"/>
      <c r="V7" s="24" t="s">
        <v>241</v>
      </c>
      <c r="W7" s="27">
        <v>10000</v>
      </c>
    </row>
    <row r="8" spans="1:23" ht="16.350000000000001" customHeight="1" thickTop="1" thickBot="1">
      <c r="A8" s="160" t="s">
        <v>1951</v>
      </c>
      <c r="B8" s="161" t="s">
        <v>1479</v>
      </c>
      <c r="C8" s="151">
        <f>VLOOKUP(A8,'IN-10-14'!A7:D881,4,FALSE)</f>
        <v>1783949.9999999998</v>
      </c>
      <c r="D8" s="162">
        <v>10000</v>
      </c>
      <c r="E8" s="163">
        <v>180</v>
      </c>
      <c r="F8" s="153">
        <f>VLOOKUP(A30,'IN-10-14'!A112:D112,4)</f>
        <v>9.5867768595041323</v>
      </c>
      <c r="G8" s="164">
        <v>0.122</v>
      </c>
      <c r="H8" s="155">
        <f>VLOOKUP(A21,A21:D28,4,FALSE)</f>
        <v>81.94</v>
      </c>
      <c r="I8" s="155">
        <f>VLOOKUP(A24,A21:D28,4)</f>
        <v>59.18</v>
      </c>
      <c r="J8" s="156">
        <f t="shared" ref="J8:J18" si="0">(C8*0.5)/D8</f>
        <v>89.197499999999991</v>
      </c>
      <c r="K8" s="157">
        <f t="shared" ref="K8:K18" si="1">C8*G8*(((D8/2000)+1)/(2*D8/2000))/2000</f>
        <v>65.292569999999984</v>
      </c>
      <c r="L8" s="157">
        <f t="shared" ref="L8:L18" si="2">ROUND(0.02*C8,2)/2000</f>
        <v>17.839500000000001</v>
      </c>
      <c r="M8" s="158">
        <f t="shared" ref="M8:M18" si="3">+E8*F8*0.15</f>
        <v>258.84297520661158</v>
      </c>
      <c r="N8" s="158">
        <f t="shared" ref="N8:N18" si="4">0.3*M8</f>
        <v>77.652892561983478</v>
      </c>
      <c r="O8" s="158">
        <f t="shared" ref="O8:O18" si="5">0.6*J8</f>
        <v>53.518499999999996</v>
      </c>
      <c r="P8" s="158">
        <f t="shared" ref="P8:P18" si="6">H8+I8</f>
        <v>141.12</v>
      </c>
      <c r="Q8" s="159">
        <f t="shared" ref="Q8:Q18" si="7">SUM(J8:P8)</f>
        <v>703.46393776859509</v>
      </c>
      <c r="R8" s="434"/>
      <c r="V8" s="25" t="s">
        <v>242</v>
      </c>
      <c r="W8" s="28">
        <v>12000</v>
      </c>
    </row>
    <row r="9" spans="1:23" ht="16.350000000000001" customHeight="1" thickTop="1" thickBot="1">
      <c r="A9" s="160" t="s">
        <v>1776</v>
      </c>
      <c r="B9" s="161" t="s">
        <v>1480</v>
      </c>
      <c r="C9" s="151">
        <f>VLOOKUP(A9,'IN-10-14'!A8:D882,4,FALSE)</f>
        <v>1218370.2334299583</v>
      </c>
      <c r="D9" s="162">
        <v>10000</v>
      </c>
      <c r="E9" s="163">
        <v>140</v>
      </c>
      <c r="F9" s="153">
        <f>VLOOKUP(A30,'IN-10-14'!A112:D112,4)</f>
        <v>9.5867768595041323</v>
      </c>
      <c r="G9" s="164">
        <v>0.122</v>
      </c>
      <c r="H9" s="155">
        <f>VLOOKUP(A21,A21:D28,4,FALSE)</f>
        <v>81.94</v>
      </c>
      <c r="I9" s="155">
        <f>VLOOKUP(A24,A21:D28,4)</f>
        <v>59.18</v>
      </c>
      <c r="J9" s="156">
        <f t="shared" si="0"/>
        <v>60.918511671497917</v>
      </c>
      <c r="K9" s="157">
        <f t="shared" si="1"/>
        <v>44.592350543536476</v>
      </c>
      <c r="L9" s="157">
        <f t="shared" si="2"/>
        <v>12.1837</v>
      </c>
      <c r="M9" s="158">
        <f t="shared" si="3"/>
        <v>201.32231404958679</v>
      </c>
      <c r="N9" s="158">
        <f t="shared" si="4"/>
        <v>60.396694214876035</v>
      </c>
      <c r="O9" s="158">
        <f t="shared" si="5"/>
        <v>36.551107002898746</v>
      </c>
      <c r="P9" s="158">
        <f t="shared" si="6"/>
        <v>141.12</v>
      </c>
      <c r="Q9" s="159">
        <f t="shared" si="7"/>
        <v>557.08467748239605</v>
      </c>
      <c r="R9" s="434"/>
      <c r="V9" s="25" t="s">
        <v>243</v>
      </c>
      <c r="W9" s="28">
        <v>16000</v>
      </c>
    </row>
    <row r="10" spans="1:23" ht="16.350000000000001" customHeight="1" thickTop="1" thickBot="1">
      <c r="A10" s="160" t="s">
        <v>1954</v>
      </c>
      <c r="B10" s="161" t="s">
        <v>1481</v>
      </c>
      <c r="C10" s="151">
        <f>VLOOKUP(A10,'IN-10-14'!A9:D883,4,FALSE)</f>
        <v>1570215.8255603821</v>
      </c>
      <c r="D10" s="162">
        <v>10000</v>
      </c>
      <c r="E10" s="163">
        <v>140</v>
      </c>
      <c r="F10" s="153">
        <f>VLOOKUP(A30,'IN-10-14'!A112:D112,4)</f>
        <v>9.5867768595041323</v>
      </c>
      <c r="G10" s="164">
        <v>0.122</v>
      </c>
      <c r="H10" s="155">
        <f>VLOOKUP(A21,A21:D28,4,FALSE)</f>
        <v>81.94</v>
      </c>
      <c r="I10" s="165"/>
      <c r="J10" s="156">
        <f t="shared" si="0"/>
        <v>78.510791278019099</v>
      </c>
      <c r="K10" s="157">
        <f t="shared" si="1"/>
        <v>57.469899215509976</v>
      </c>
      <c r="L10" s="157">
        <f t="shared" si="2"/>
        <v>15.702159999999999</v>
      </c>
      <c r="M10" s="158">
        <f t="shared" si="3"/>
        <v>201.32231404958679</v>
      </c>
      <c r="N10" s="158">
        <f t="shared" si="4"/>
        <v>60.396694214876035</v>
      </c>
      <c r="O10" s="158">
        <f t="shared" si="5"/>
        <v>47.106474766811459</v>
      </c>
      <c r="P10" s="158">
        <f t="shared" si="6"/>
        <v>81.94</v>
      </c>
      <c r="Q10" s="159">
        <f t="shared" si="7"/>
        <v>542.44833352480327</v>
      </c>
      <c r="R10" s="434"/>
      <c r="V10" s="25" t="s">
        <v>244</v>
      </c>
      <c r="W10" s="28">
        <v>10000</v>
      </c>
    </row>
    <row r="11" spans="1:23" ht="16.350000000000001" customHeight="1" thickTop="1" thickBot="1">
      <c r="A11" s="160" t="s">
        <v>1955</v>
      </c>
      <c r="B11" s="161" t="s">
        <v>1482</v>
      </c>
      <c r="C11" s="151">
        <f>VLOOKUP(A11,'IN-10-14'!A10:D884,4,FALSE)</f>
        <v>988398.04351058416</v>
      </c>
      <c r="D11" s="162">
        <v>10000</v>
      </c>
      <c r="E11" s="163">
        <v>70</v>
      </c>
      <c r="F11" s="153">
        <f>VLOOKUP(A30,'IN-10-14'!A112:D112,4)</f>
        <v>9.5867768595041323</v>
      </c>
      <c r="G11" s="164">
        <v>0.122</v>
      </c>
      <c r="H11" s="155">
        <f>VLOOKUP(A21,A21:D28,4,FALSE)</f>
        <v>81.94</v>
      </c>
      <c r="I11" s="165"/>
      <c r="J11" s="156">
        <f t="shared" si="0"/>
        <v>49.419902175529209</v>
      </c>
      <c r="K11" s="157">
        <f t="shared" si="1"/>
        <v>36.175368392487378</v>
      </c>
      <c r="L11" s="157">
        <f t="shared" si="2"/>
        <v>9.8839799999999993</v>
      </c>
      <c r="M11" s="158">
        <f t="shared" si="3"/>
        <v>100.6611570247934</v>
      </c>
      <c r="N11" s="158">
        <f t="shared" si="4"/>
        <v>30.198347107438018</v>
      </c>
      <c r="O11" s="158">
        <f t="shared" si="5"/>
        <v>29.651941305317525</v>
      </c>
      <c r="P11" s="158">
        <f t="shared" si="6"/>
        <v>81.94</v>
      </c>
      <c r="Q11" s="159">
        <f t="shared" si="7"/>
        <v>337.93069600556555</v>
      </c>
      <c r="R11" s="434"/>
      <c r="V11" s="25" t="s">
        <v>245</v>
      </c>
      <c r="W11" s="28">
        <v>12000</v>
      </c>
    </row>
    <row r="12" spans="1:23" ht="16.350000000000001" customHeight="1" thickTop="1" thickBot="1">
      <c r="A12" s="160" t="s">
        <v>1958</v>
      </c>
      <c r="B12" s="161" t="s">
        <v>1483</v>
      </c>
      <c r="C12" s="151">
        <f>VLOOKUP(A12,'IN-10-14'!A11:D885,4,FALSE)</f>
        <v>1264310.8499999999</v>
      </c>
      <c r="D12" s="162">
        <v>10000</v>
      </c>
      <c r="E12" s="163">
        <v>120</v>
      </c>
      <c r="F12" s="153">
        <f>VLOOKUP(A30,'IN-10-14'!A112:D112,4)</f>
        <v>9.5867768595041323</v>
      </c>
      <c r="G12" s="164">
        <v>0.122</v>
      </c>
      <c r="H12" s="155">
        <f>VLOOKUP(A21,A21:D28,4,FALSE)</f>
        <v>81.94</v>
      </c>
      <c r="I12" s="165"/>
      <c r="J12" s="156">
        <f t="shared" si="0"/>
        <v>63.215542499999991</v>
      </c>
      <c r="K12" s="157">
        <f t="shared" si="1"/>
        <v>46.273777109999997</v>
      </c>
      <c r="L12" s="157">
        <f t="shared" si="2"/>
        <v>12.64311</v>
      </c>
      <c r="M12" s="158">
        <f t="shared" si="3"/>
        <v>172.56198347107437</v>
      </c>
      <c r="N12" s="158">
        <f t="shared" si="4"/>
        <v>51.768595041322307</v>
      </c>
      <c r="O12" s="158">
        <f t="shared" si="5"/>
        <v>37.92932549999999</v>
      </c>
      <c r="P12" s="158">
        <f t="shared" si="6"/>
        <v>81.94</v>
      </c>
      <c r="Q12" s="159">
        <f t="shared" si="7"/>
        <v>466.33233362239667</v>
      </c>
      <c r="R12" s="434"/>
      <c r="V12" s="25" t="s">
        <v>246</v>
      </c>
      <c r="W12" s="28">
        <v>12000</v>
      </c>
    </row>
    <row r="13" spans="1:23" ht="16.350000000000001" customHeight="1" thickTop="1" thickBot="1">
      <c r="A13" s="160" t="s">
        <v>1960</v>
      </c>
      <c r="B13" s="161" t="s">
        <v>1484</v>
      </c>
      <c r="C13" s="151">
        <f>VLOOKUP(A13,'IN-10-14'!A12:D886,4,FALSE)</f>
        <v>1879419.5268135939</v>
      </c>
      <c r="D13" s="162">
        <v>10000</v>
      </c>
      <c r="E13" s="163">
        <v>240</v>
      </c>
      <c r="F13" s="153">
        <f>VLOOKUP(A30,'IN-10-14'!A112:D112,4)</f>
        <v>9.5867768595041323</v>
      </c>
      <c r="G13" s="164">
        <v>0.122</v>
      </c>
      <c r="H13" s="155">
        <f>VLOOKUP(A21,A21:D285,4,FALSE)</f>
        <v>81.94</v>
      </c>
      <c r="I13" s="155">
        <f>VLOOKUP(A24,A21:D28,4)</f>
        <v>59.18</v>
      </c>
      <c r="J13" s="156">
        <f t="shared" si="0"/>
        <v>93.970976340679698</v>
      </c>
      <c r="K13" s="157">
        <f t="shared" si="1"/>
        <v>68.786754681377531</v>
      </c>
      <c r="L13" s="157">
        <f t="shared" si="2"/>
        <v>18.794194999999998</v>
      </c>
      <c r="M13" s="158">
        <f t="shared" si="3"/>
        <v>345.12396694214874</v>
      </c>
      <c r="N13" s="158">
        <f t="shared" si="4"/>
        <v>103.53719008264461</v>
      </c>
      <c r="O13" s="158">
        <f t="shared" si="5"/>
        <v>56.382585804407817</v>
      </c>
      <c r="P13" s="158">
        <f t="shared" si="6"/>
        <v>141.12</v>
      </c>
      <c r="Q13" s="159">
        <f t="shared" si="7"/>
        <v>827.71566885125844</v>
      </c>
      <c r="R13" s="434"/>
      <c r="V13" s="25" t="s">
        <v>247</v>
      </c>
      <c r="W13" s="28">
        <v>16000</v>
      </c>
    </row>
    <row r="14" spans="1:23" ht="16.350000000000001" customHeight="1" thickTop="1" thickBot="1">
      <c r="A14" s="160" t="s">
        <v>4</v>
      </c>
      <c r="B14" s="161" t="s">
        <v>1485</v>
      </c>
      <c r="C14" s="151">
        <f>VLOOKUP(A14,'IN-10-14'!A13:D887,4,FALSE)</f>
        <v>2456295.6657246049</v>
      </c>
      <c r="D14" s="162">
        <v>10000</v>
      </c>
      <c r="E14" s="163">
        <v>200</v>
      </c>
      <c r="F14" s="153">
        <f>VLOOKUP(A30,'IN-10-14'!A112:D112,4)</f>
        <v>9.5867768595041323</v>
      </c>
      <c r="G14" s="164">
        <v>0.122</v>
      </c>
      <c r="H14" s="155">
        <f>VLOOKUP(A21,A21:D28,4,FALSE)</f>
        <v>81.94</v>
      </c>
      <c r="I14" s="165"/>
      <c r="J14" s="156">
        <f t="shared" si="0"/>
        <v>122.81478328623024</v>
      </c>
      <c r="K14" s="157">
        <f t="shared" si="1"/>
        <v>89.900421365520529</v>
      </c>
      <c r="L14" s="157">
        <f t="shared" si="2"/>
        <v>24.562955000000002</v>
      </c>
      <c r="M14" s="158">
        <f t="shared" si="3"/>
        <v>287.60330578512395</v>
      </c>
      <c r="N14" s="158">
        <f t="shared" si="4"/>
        <v>86.280991735537185</v>
      </c>
      <c r="O14" s="158">
        <f t="shared" si="5"/>
        <v>73.688869971738143</v>
      </c>
      <c r="P14" s="158">
        <f t="shared" si="6"/>
        <v>81.94</v>
      </c>
      <c r="Q14" s="159">
        <f t="shared" si="7"/>
        <v>766.79132714415005</v>
      </c>
      <c r="R14" s="434"/>
      <c r="V14" s="25" t="s">
        <v>248</v>
      </c>
      <c r="W14" s="28">
        <v>14000</v>
      </c>
    </row>
    <row r="15" spans="1:23" ht="16.350000000000001" customHeight="1" thickTop="1" thickBot="1">
      <c r="A15" s="160" t="s">
        <v>364</v>
      </c>
      <c r="B15" s="161" t="s">
        <v>365</v>
      </c>
      <c r="C15" s="151">
        <f>VLOOKUP(A15,'IN-10-14'!A14:D888,4,FALSE)</f>
        <v>261870.66115702476</v>
      </c>
      <c r="D15" s="162">
        <v>10000</v>
      </c>
      <c r="E15" s="163">
        <v>200</v>
      </c>
      <c r="F15" s="153">
        <f>VLOOKUP(A30,'IN-10-14'!A112:D112,4)</f>
        <v>9.5867768595041323</v>
      </c>
      <c r="G15" s="164">
        <v>0.122</v>
      </c>
      <c r="H15" s="155">
        <f>VLOOKUP(A21,A21:D28,4,FALSE)</f>
        <v>81.94</v>
      </c>
      <c r="I15" s="165"/>
      <c r="J15" s="156">
        <f t="shared" si="0"/>
        <v>13.093533057851237</v>
      </c>
      <c r="K15" s="157">
        <f t="shared" si="1"/>
        <v>9.5844661983471067</v>
      </c>
      <c r="L15" s="157">
        <f t="shared" si="2"/>
        <v>2.6187049999999998</v>
      </c>
      <c r="M15" s="158">
        <f t="shared" si="3"/>
        <v>287.60330578512395</v>
      </c>
      <c r="N15" s="158">
        <f t="shared" si="4"/>
        <v>86.280991735537185</v>
      </c>
      <c r="O15" s="158">
        <f t="shared" si="5"/>
        <v>7.8561198347107419</v>
      </c>
      <c r="P15" s="158">
        <f t="shared" si="6"/>
        <v>81.94</v>
      </c>
      <c r="Q15" s="159">
        <f t="shared" si="7"/>
        <v>488.97712161157023</v>
      </c>
      <c r="R15" s="434"/>
      <c r="V15" s="25" t="s">
        <v>249</v>
      </c>
      <c r="W15" s="28">
        <v>16000</v>
      </c>
    </row>
    <row r="16" spans="1:23" ht="16.350000000000001" customHeight="1" thickTop="1" thickBot="1">
      <c r="A16" s="160" t="s">
        <v>1044</v>
      </c>
      <c r="B16" s="161" t="s">
        <v>1486</v>
      </c>
      <c r="C16" s="151">
        <f>VLOOKUP(A16,'IN-10-14'!A15:D889,4,FALSE)</f>
        <v>1571528.7788052598</v>
      </c>
      <c r="D16" s="162">
        <v>10000</v>
      </c>
      <c r="E16" s="163">
        <v>90</v>
      </c>
      <c r="F16" s="153">
        <f>VLOOKUP(A30,'IN-10-14'!A112:D112,4)</f>
        <v>9.5867768595041323</v>
      </c>
      <c r="G16" s="164">
        <v>0.122</v>
      </c>
      <c r="H16" s="155">
        <f>VLOOKUP(A21,A21:D28,4,FALSE)</f>
        <v>81.94</v>
      </c>
      <c r="I16" s="155">
        <f>VLOOKUP(A24,A21:D28,4)</f>
        <v>59.18</v>
      </c>
      <c r="J16" s="156">
        <f t="shared" si="0"/>
        <v>78.576438940262989</v>
      </c>
      <c r="K16" s="157">
        <f t="shared" si="1"/>
        <v>57.51795330427251</v>
      </c>
      <c r="L16" s="157">
        <f t="shared" si="2"/>
        <v>15.715290000000001</v>
      </c>
      <c r="M16" s="158">
        <f t="shared" si="3"/>
        <v>129.42148760330579</v>
      </c>
      <c r="N16" s="158">
        <f t="shared" si="4"/>
        <v>38.826446280991739</v>
      </c>
      <c r="O16" s="158">
        <f t="shared" si="5"/>
        <v>47.14586336415779</v>
      </c>
      <c r="P16" s="158">
        <f t="shared" si="6"/>
        <v>141.12</v>
      </c>
      <c r="Q16" s="159">
        <f t="shared" si="7"/>
        <v>508.32347949299083</v>
      </c>
      <c r="R16" s="434"/>
      <c r="V16" s="25" t="s">
        <v>250</v>
      </c>
      <c r="W16" s="28">
        <v>16000</v>
      </c>
    </row>
    <row r="17" spans="1:23" ht="16.350000000000001" customHeight="1" thickTop="1" thickBot="1">
      <c r="A17" s="186" t="s">
        <v>1963</v>
      </c>
      <c r="B17" s="187" t="s">
        <v>1487</v>
      </c>
      <c r="C17" s="151">
        <f>VLOOKUP(A17,'IN-10-14'!A16:D890,4,FALSE)</f>
        <v>767837.29595342115</v>
      </c>
      <c r="D17" s="188">
        <v>10000</v>
      </c>
      <c r="E17" s="189">
        <v>60</v>
      </c>
      <c r="F17" s="153">
        <f>VLOOKUP(A30,'IN-10-14'!A112:D112,4)</f>
        <v>9.5867768595041323</v>
      </c>
      <c r="G17" s="190">
        <v>0.122</v>
      </c>
      <c r="H17" s="155">
        <f>VLOOKUP(A21,A21:D28,4,FALSE)</f>
        <v>81.94</v>
      </c>
      <c r="I17" s="191"/>
      <c r="J17" s="156">
        <f t="shared" si="0"/>
        <v>38.391864797671055</v>
      </c>
      <c r="K17" s="157">
        <f t="shared" si="1"/>
        <v>28.102845031895214</v>
      </c>
      <c r="L17" s="157">
        <f t="shared" si="2"/>
        <v>7.678375</v>
      </c>
      <c r="M17" s="158">
        <f t="shared" si="3"/>
        <v>86.280991735537185</v>
      </c>
      <c r="N17" s="158">
        <f t="shared" si="4"/>
        <v>25.884297520661153</v>
      </c>
      <c r="O17" s="158">
        <f t="shared" si="5"/>
        <v>23.035118878602631</v>
      </c>
      <c r="P17" s="158">
        <f t="shared" si="6"/>
        <v>81.94</v>
      </c>
      <c r="Q17" s="159">
        <f t="shared" si="7"/>
        <v>291.31349296436724</v>
      </c>
      <c r="R17" s="435"/>
      <c r="V17" s="25" t="s">
        <v>251</v>
      </c>
      <c r="W17" s="28">
        <v>10000</v>
      </c>
    </row>
    <row r="18" spans="1:23" ht="16.350000000000001" customHeight="1" thickTop="1">
      <c r="A18" s="192" t="s">
        <v>1423</v>
      </c>
      <c r="B18" s="192" t="s">
        <v>112</v>
      </c>
      <c r="C18" s="151">
        <f>VLOOKUP(A18,'IN-10-14'!A17:D891,4,FALSE)</f>
        <v>5121920</v>
      </c>
      <c r="D18" s="199">
        <v>10000</v>
      </c>
      <c r="E18" s="192">
        <v>240</v>
      </c>
      <c r="F18" s="153">
        <f>VLOOKUP(A30,'IN-10-14'!A112:D112,4)</f>
        <v>9.5867768595041323</v>
      </c>
      <c r="G18" s="200">
        <v>0.122</v>
      </c>
      <c r="H18" s="155">
        <f>VLOOKUP(A21,A21:D28,4,FALSE)</f>
        <v>81.94</v>
      </c>
      <c r="I18" s="193"/>
      <c r="J18" s="156">
        <f t="shared" si="0"/>
        <v>256.096</v>
      </c>
      <c r="K18" s="157">
        <f t="shared" si="1"/>
        <v>187.46227199999998</v>
      </c>
      <c r="L18" s="157">
        <f t="shared" si="2"/>
        <v>51.219199999999994</v>
      </c>
      <c r="M18" s="158">
        <f t="shared" si="3"/>
        <v>345.12396694214874</v>
      </c>
      <c r="N18" s="158">
        <f t="shared" si="4"/>
        <v>103.53719008264461</v>
      </c>
      <c r="O18" s="158">
        <f t="shared" si="5"/>
        <v>153.6576</v>
      </c>
      <c r="P18" s="158">
        <f t="shared" si="6"/>
        <v>81.94</v>
      </c>
      <c r="Q18" s="159">
        <f t="shared" si="7"/>
        <v>1179.0362290247936</v>
      </c>
      <c r="R18" s="435"/>
      <c r="V18" s="25" t="s">
        <v>252</v>
      </c>
      <c r="W18" s="28">
        <v>8000</v>
      </c>
    </row>
    <row r="19" spans="1:23" ht="16.350000000000001" customHeight="1">
      <c r="C19" s="227" t="s">
        <v>510</v>
      </c>
      <c r="D19" s="226"/>
      <c r="E19" s="226"/>
      <c r="F19" s="226"/>
      <c r="G19" s="226"/>
      <c r="H19" s="227"/>
      <c r="I19" s="228"/>
      <c r="J19" s="226"/>
      <c r="K19" s="226"/>
      <c r="L19" s="226"/>
      <c r="M19" s="226"/>
      <c r="N19" s="226"/>
      <c r="O19" s="226"/>
      <c r="P19" s="226"/>
      <c r="Q19" s="226"/>
      <c r="V19" s="25" t="s">
        <v>253</v>
      </c>
      <c r="W19" s="28">
        <v>20000</v>
      </c>
    </row>
    <row r="20" spans="1:23" ht="16.350000000000001" customHeight="1">
      <c r="V20" s="25" t="s">
        <v>254</v>
      </c>
      <c r="W20" s="28">
        <v>20000</v>
      </c>
    </row>
    <row r="21" spans="1:23" ht="16.350000000000001" customHeight="1">
      <c r="A21" s="132" t="s">
        <v>1861</v>
      </c>
      <c r="B21" s="127" t="s">
        <v>1862</v>
      </c>
      <c r="C21" s="126" t="s">
        <v>1863</v>
      </c>
      <c r="D21" s="142">
        <f>VLOOKUP(A21,'IN-10-14'!$A$6:$D$880,4,FALSE)</f>
        <v>81.94</v>
      </c>
      <c r="V21" s="25" t="s">
        <v>255</v>
      </c>
      <c r="W21" s="28">
        <v>14000</v>
      </c>
    </row>
    <row r="22" spans="1:23" ht="16.350000000000001" customHeight="1">
      <c r="A22" s="132" t="s">
        <v>1864</v>
      </c>
      <c r="B22" s="127" t="s">
        <v>1865</v>
      </c>
      <c r="C22" s="126" t="s">
        <v>1863</v>
      </c>
      <c r="D22" s="142">
        <f>VLOOKUP(A22,'IN-10-14'!$A$6:$D$880,4,FALSE)</f>
        <v>69.87</v>
      </c>
      <c r="V22" s="25" t="s">
        <v>256</v>
      </c>
      <c r="W22" s="28">
        <v>16000</v>
      </c>
    </row>
    <row r="23" spans="1:23" ht="16.350000000000001" customHeight="1">
      <c r="A23" s="132" t="s">
        <v>1866</v>
      </c>
      <c r="B23" s="127" t="s">
        <v>1867</v>
      </c>
      <c r="C23" s="126" t="s">
        <v>1863</v>
      </c>
      <c r="D23" s="142">
        <f>VLOOKUP(A23,'IN-10-14'!$A$6:$D$880,4,FALSE)</f>
        <v>64.44</v>
      </c>
      <c r="V23" s="25" t="s">
        <v>257</v>
      </c>
      <c r="W23" s="28">
        <v>14000</v>
      </c>
    </row>
    <row r="24" spans="1:23" ht="16.350000000000001" customHeight="1">
      <c r="A24" s="132" t="s">
        <v>1868</v>
      </c>
      <c r="B24" s="127" t="s">
        <v>1869</v>
      </c>
      <c r="C24" s="126" t="s">
        <v>1863</v>
      </c>
      <c r="D24" s="142">
        <f>VLOOKUP(A24,'IN-10-14'!$A$6:$D$880,4,FALSE)</f>
        <v>59.18</v>
      </c>
      <c r="V24" s="25" t="s">
        <v>258</v>
      </c>
      <c r="W24" s="28">
        <v>10000</v>
      </c>
    </row>
    <row r="25" spans="1:23" ht="16.350000000000001" customHeight="1">
      <c r="A25" s="132" t="s">
        <v>1054</v>
      </c>
      <c r="B25" s="127" t="s">
        <v>1055</v>
      </c>
      <c r="C25" s="126" t="s">
        <v>1863</v>
      </c>
      <c r="D25" s="142">
        <f>VLOOKUP(A25,'IN-10-14'!$A$6:$D$880,4,FALSE)</f>
        <v>70.33</v>
      </c>
      <c r="V25" s="25" t="s">
        <v>259</v>
      </c>
      <c r="W25" s="28">
        <v>12000</v>
      </c>
    </row>
    <row r="26" spans="1:23" ht="16.350000000000001" customHeight="1">
      <c r="A26" s="132" t="s">
        <v>1575</v>
      </c>
      <c r="B26" s="127" t="s">
        <v>1870</v>
      </c>
      <c r="C26" s="126" t="s">
        <v>1863</v>
      </c>
      <c r="D26" s="142">
        <f>VLOOKUP(A26,'IN-10-14'!$A$6:$D$880,4,FALSE)</f>
        <v>64.12</v>
      </c>
      <c r="V26" s="25" t="s">
        <v>260</v>
      </c>
      <c r="W26" s="28">
        <v>16000</v>
      </c>
    </row>
    <row r="27" spans="1:23" ht="16.350000000000001" customHeight="1">
      <c r="A27" s="132" t="s">
        <v>1607</v>
      </c>
      <c r="B27" s="127" t="s">
        <v>1949</v>
      </c>
      <c r="C27" s="126" t="s">
        <v>1863</v>
      </c>
      <c r="D27" s="142">
        <f>VLOOKUP(A27,'IN-10-14'!$A$6:$D$880,4,FALSE)</f>
        <v>74.430000000000007</v>
      </c>
      <c r="V27" s="25" t="s">
        <v>261</v>
      </c>
      <c r="W27" s="28">
        <v>20000</v>
      </c>
    </row>
    <row r="28" spans="1:23" ht="16.350000000000001" customHeight="1">
      <c r="A28" s="132" t="s">
        <v>1149</v>
      </c>
      <c r="B28" s="127" t="s">
        <v>1150</v>
      </c>
      <c r="C28" s="126" t="s">
        <v>1863</v>
      </c>
      <c r="D28" s="142">
        <f>VLOOKUP(A28,'IN-10-14'!$A$6:$D$880,4,FALSE)</f>
        <v>81.94</v>
      </c>
      <c r="V28" s="25" t="s">
        <v>262</v>
      </c>
      <c r="W28" s="28">
        <v>10000</v>
      </c>
    </row>
    <row r="29" spans="1:23" ht="16.350000000000001" customHeight="1">
      <c r="V29" s="25" t="s">
        <v>263</v>
      </c>
      <c r="W29" s="28">
        <v>12000</v>
      </c>
    </row>
    <row r="30" spans="1:23" ht="16.350000000000001" customHeight="1">
      <c r="A30" s="132" t="s">
        <v>1950</v>
      </c>
      <c r="B30" s="127" t="s">
        <v>1895</v>
      </c>
      <c r="C30" s="126" t="s">
        <v>344</v>
      </c>
      <c r="D30" s="142">
        <f>VLOOKUP(A30,'IN-10-14'!$A$6:$D$880,4,FALSE)</f>
        <v>9.5867768595041323</v>
      </c>
      <c r="V30" s="25" t="s">
        <v>264</v>
      </c>
      <c r="W30" s="28">
        <v>10000</v>
      </c>
    </row>
    <row r="31" spans="1:23" ht="16.350000000000001" customHeight="1">
      <c r="V31" s="25" t="s">
        <v>265</v>
      </c>
      <c r="W31" s="28">
        <v>10000</v>
      </c>
    </row>
    <row r="32" spans="1:23" ht="16.350000000000001" customHeight="1">
      <c r="V32" s="25" t="s">
        <v>266</v>
      </c>
      <c r="W32" s="28">
        <v>10000</v>
      </c>
    </row>
    <row r="33" spans="22:23" ht="16.350000000000001" customHeight="1">
      <c r="V33" s="25" t="s">
        <v>267</v>
      </c>
      <c r="W33" s="28">
        <v>12000</v>
      </c>
    </row>
    <row r="34" spans="22:23" ht="16.350000000000001" customHeight="1" thickBot="1">
      <c r="V34" s="26" t="s">
        <v>268</v>
      </c>
      <c r="W34" s="29">
        <v>12000</v>
      </c>
    </row>
    <row r="35" spans="22:23" ht="16.350000000000001" customHeight="1"/>
    <row r="36" spans="22:23" ht="16.350000000000001" customHeight="1"/>
    <row r="37" spans="22:23" ht="16.350000000000001" customHeight="1"/>
    <row r="38" spans="22:23" ht="16.350000000000001" customHeight="1"/>
    <row r="39" spans="22:23" ht="16.350000000000001" customHeight="1"/>
    <row r="40" spans="22:23" ht="16.350000000000001" customHeight="1"/>
    <row r="41" spans="22:23" ht="16.350000000000001" customHeight="1"/>
    <row r="42" spans="22:23" ht="16.350000000000001" customHeight="1"/>
    <row r="43" spans="22:23" ht="16.350000000000001" customHeight="1"/>
    <row r="44" spans="22:23" ht="16.350000000000001" customHeight="1"/>
    <row r="45" spans="22:23" ht="16.350000000000001" customHeight="1"/>
    <row r="46" spans="22:23" ht="16.350000000000001" customHeight="1"/>
    <row r="47" spans="22:23" ht="16.350000000000001" customHeight="1"/>
    <row r="48" spans="22:23" ht="16.350000000000001" customHeight="1"/>
    <row r="49" ht="16.350000000000001" customHeight="1"/>
  </sheetData>
  <customSheetViews>
    <customSheetView guid="{D8392041-DA66-4755-A670-C1D45774EC77}" scale="75" showGridLines="0" outlineSymbols="0" zeroValues="0" fitToPage="1" showRuler="0" topLeftCell="E2">
      <selection activeCell="G12" sqref="G12"/>
      <pageMargins left="0.52" right="0.24" top="0.69" bottom="0.61" header="0" footer="0"/>
      <printOptions horizontalCentered="1" verticalCentered="1"/>
      <pageSetup paperSize="9" scale="74" orientation="landscape" r:id="rId1"/>
      <headerFooter alignWithMargins="0"/>
    </customSheetView>
  </customSheetViews>
  <mergeCells count="14">
    <mergeCell ref="A4:A6"/>
    <mergeCell ref="A2:Q2"/>
    <mergeCell ref="A1:Q1"/>
    <mergeCell ref="Q4:Q5"/>
    <mergeCell ref="J4:K4"/>
    <mergeCell ref="L4:P4"/>
    <mergeCell ref="H4:I4"/>
    <mergeCell ref="G4:G5"/>
    <mergeCell ref="F4:F5"/>
    <mergeCell ref="E4:E5"/>
    <mergeCell ref="D4:D5"/>
    <mergeCell ref="C4:C5"/>
    <mergeCell ref="V5:V6"/>
    <mergeCell ref="B4:B6"/>
  </mergeCells>
  <phoneticPr fontId="0" type="noConversion"/>
  <printOptions horizontalCentered="1"/>
  <pageMargins left="0.59055118110236227" right="0.59055118110236227" top="1.4960629921259843" bottom="0.59055118110236227" header="0" footer="0"/>
  <pageSetup paperSize="9" scale="76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3">
    <tabColor indexed="60"/>
  </sheetPr>
  <dimension ref="A1:H62"/>
  <sheetViews>
    <sheetView showGridLines="0" zoomScale="90" zoomScaleNormal="75" zoomScaleSheetLayoutView="75" workbookViewId="0">
      <selection activeCell="E29" sqref="E29"/>
    </sheetView>
  </sheetViews>
  <sheetFormatPr baseColWidth="10" defaultColWidth="9.77734375" defaultRowHeight="12.75"/>
  <cols>
    <col min="1" max="1" width="9.109375" style="1" customWidth="1"/>
    <col min="2" max="2" width="27.88671875" style="1" customWidth="1"/>
    <col min="3" max="3" width="7.332031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/>
    <row r="2" spans="1:7" ht="13.5" thickTop="1">
      <c r="A2" s="75" t="s">
        <v>342</v>
      </c>
      <c r="B2" s="218" t="s">
        <v>1771</v>
      </c>
      <c r="C2" s="77" t="str">
        <f>Fecha</f>
        <v>Oct-14</v>
      </c>
      <c r="D2" s="65"/>
      <c r="E2" s="48"/>
      <c r="F2" s="219">
        <f>SUM(F4:F7)</f>
        <v>201.33680000000001</v>
      </c>
      <c r="G2" s="41"/>
    </row>
    <row r="3" spans="1:7" ht="13.5" thickBot="1">
      <c r="A3" s="7" t="s">
        <v>341</v>
      </c>
      <c r="B3" s="7" t="s">
        <v>1622</v>
      </c>
      <c r="C3" s="78" t="s">
        <v>340</v>
      </c>
      <c r="D3" s="49" t="s">
        <v>1751</v>
      </c>
      <c r="E3" s="50"/>
      <c r="F3" s="68"/>
      <c r="G3" s="42" t="s">
        <v>1922</v>
      </c>
    </row>
    <row r="4" spans="1:7" ht="13.5" thickTop="1">
      <c r="A4" s="82" t="s">
        <v>346</v>
      </c>
      <c r="E4" s="51"/>
      <c r="F4" s="69"/>
    </row>
    <row r="5" spans="1:7">
      <c r="A5" s="82" t="s">
        <v>347</v>
      </c>
      <c r="D5" s="51"/>
      <c r="E5" s="51"/>
      <c r="F5" s="69"/>
    </row>
    <row r="6" spans="1:7">
      <c r="A6" s="3" t="s">
        <v>1575</v>
      </c>
      <c r="B6" s="4" t="str">
        <f>VLOOKUP(A6,Insumos,2)</f>
        <v>cuadrilla tipo UOCRA</v>
      </c>
      <c r="C6" s="6" t="str">
        <f>VLOOKUP(A6,Insumos,3)</f>
        <v>h</v>
      </c>
      <c r="D6" s="51">
        <v>3.14</v>
      </c>
      <c r="E6" s="51">
        <f>VLOOKUP(A6,'IN-10-14'!A6:D880,4,FALSE)</f>
        <v>64.12</v>
      </c>
      <c r="F6" s="69">
        <f>(D6*E6)</f>
        <v>201.33680000000001</v>
      </c>
    </row>
    <row r="7" spans="1:7">
      <c r="A7" s="82" t="s">
        <v>348</v>
      </c>
      <c r="D7" s="51"/>
      <c r="E7" s="51"/>
      <c r="F7" s="69"/>
    </row>
    <row r="8" spans="1:7" ht="13.5" thickBot="1">
      <c r="D8" s="51"/>
      <c r="E8" s="220"/>
      <c r="F8" s="69"/>
    </row>
    <row r="9" spans="1:7" ht="13.5" thickTop="1">
      <c r="A9" s="75" t="s">
        <v>342</v>
      </c>
      <c r="B9" s="218" t="s">
        <v>1772</v>
      </c>
      <c r="C9" s="77" t="str">
        <f>Fecha</f>
        <v>Oct-14</v>
      </c>
      <c r="D9" s="48"/>
      <c r="E9" s="51"/>
      <c r="F9" s="219">
        <f>SUM(F11:F14)</f>
        <v>255.19760000000002</v>
      </c>
      <c r="G9" s="41"/>
    </row>
    <row r="10" spans="1:7" ht="13.5" thickBot="1">
      <c r="A10" s="7" t="s">
        <v>341</v>
      </c>
      <c r="B10" s="7" t="s">
        <v>1622</v>
      </c>
      <c r="C10" s="78" t="s">
        <v>340</v>
      </c>
      <c r="D10" s="49" t="s">
        <v>1671</v>
      </c>
      <c r="E10" s="220"/>
      <c r="F10" s="68"/>
      <c r="G10" s="42" t="s">
        <v>1922</v>
      </c>
    </row>
    <row r="11" spans="1:7" ht="13.5" thickTop="1">
      <c r="A11" s="82" t="s">
        <v>346</v>
      </c>
      <c r="D11" s="51"/>
      <c r="E11" s="51"/>
      <c r="F11" s="69"/>
    </row>
    <row r="12" spans="1:7">
      <c r="A12" s="82" t="s">
        <v>347</v>
      </c>
      <c r="D12" s="51"/>
      <c r="E12" s="51"/>
      <c r="F12" s="69"/>
    </row>
    <row r="13" spans="1:7">
      <c r="A13" s="3" t="s">
        <v>1575</v>
      </c>
      <c r="B13" s="4" t="str">
        <f>VLOOKUP(A13,Insumos,2)</f>
        <v>cuadrilla tipo UOCRA</v>
      </c>
      <c r="C13" s="6" t="str">
        <f>VLOOKUP(A13,Insumos,3)</f>
        <v>h</v>
      </c>
      <c r="D13" s="51">
        <v>3.98</v>
      </c>
      <c r="E13" s="51">
        <f>VLOOKUP(A13,'IN-10-14'!A13:D887,4,FALSE)</f>
        <v>64.12</v>
      </c>
      <c r="F13" s="69">
        <f>(D13*E13)</f>
        <v>255.19760000000002</v>
      </c>
    </row>
    <row r="14" spans="1:7">
      <c r="A14" s="82" t="s">
        <v>348</v>
      </c>
      <c r="D14" s="51"/>
      <c r="E14" s="51"/>
      <c r="F14" s="69"/>
    </row>
    <row r="15" spans="1:7" ht="13.5" thickBot="1">
      <c r="D15" s="51"/>
      <c r="E15" s="220"/>
      <c r="F15" s="69"/>
    </row>
    <row r="16" spans="1:7" ht="13.5" thickTop="1">
      <c r="A16" s="75" t="s">
        <v>342</v>
      </c>
      <c r="B16" s="218" t="s">
        <v>1773</v>
      </c>
      <c r="C16" s="77" t="str">
        <f>Fecha</f>
        <v>Oct-14</v>
      </c>
      <c r="D16" s="48"/>
      <c r="E16" s="51"/>
      <c r="F16" s="219">
        <f>SUM(F18:F21)</f>
        <v>425.7568</v>
      </c>
      <c r="G16" s="41"/>
    </row>
    <row r="17" spans="1:7" ht="13.5" thickBot="1">
      <c r="A17" s="7" t="s">
        <v>341</v>
      </c>
      <c r="B17" s="7" t="s">
        <v>1622</v>
      </c>
      <c r="C17" s="78" t="s">
        <v>340</v>
      </c>
      <c r="D17" s="49" t="s">
        <v>1672</v>
      </c>
      <c r="E17" s="220"/>
      <c r="F17" s="68"/>
      <c r="G17" s="42" t="s">
        <v>1922</v>
      </c>
    </row>
    <row r="18" spans="1:7" ht="13.5" thickTop="1">
      <c r="A18" s="82" t="s">
        <v>346</v>
      </c>
      <c r="D18" s="51"/>
      <c r="E18" s="51"/>
      <c r="F18" s="69"/>
    </row>
    <row r="19" spans="1:7">
      <c r="A19" s="82" t="s">
        <v>347</v>
      </c>
      <c r="D19" s="51"/>
      <c r="E19" s="51"/>
      <c r="F19" s="69"/>
    </row>
    <row r="20" spans="1:7">
      <c r="A20" s="3" t="s">
        <v>1575</v>
      </c>
      <c r="B20" s="4" t="str">
        <f>VLOOKUP(A20,Insumos,2)</f>
        <v>cuadrilla tipo UOCRA</v>
      </c>
      <c r="C20" s="6" t="str">
        <f>VLOOKUP(A20,Insumos,3)</f>
        <v>h</v>
      </c>
      <c r="D20" s="51">
        <v>6.64</v>
      </c>
      <c r="E20" s="51">
        <f>VLOOKUP(A20,'IN-10-14'!A20:D894,4,FALSE)</f>
        <v>64.12</v>
      </c>
      <c r="F20" s="69">
        <f>(D20*E20)</f>
        <v>425.7568</v>
      </c>
    </row>
    <row r="21" spans="1:7">
      <c r="A21" s="82" t="s">
        <v>348</v>
      </c>
      <c r="D21" s="51"/>
      <c r="E21" s="51"/>
      <c r="F21" s="69"/>
    </row>
    <row r="22" spans="1:7" ht="13.5" thickBot="1">
      <c r="D22" s="51"/>
      <c r="E22" s="220"/>
      <c r="F22" s="69"/>
    </row>
    <row r="23" spans="1:7" ht="13.5" thickTop="1">
      <c r="A23" s="75" t="s">
        <v>342</v>
      </c>
      <c r="B23" s="218" t="s">
        <v>1774</v>
      </c>
      <c r="C23" s="77" t="str">
        <f>Fecha</f>
        <v>Oct-14</v>
      </c>
      <c r="D23" s="48"/>
      <c r="E23" s="51"/>
      <c r="F23" s="219">
        <f>SUM(F25:F29)</f>
        <v>266.33929354964795</v>
      </c>
      <c r="G23" s="41"/>
    </row>
    <row r="24" spans="1:7" ht="13.5" thickBot="1">
      <c r="A24" s="7" t="s">
        <v>341</v>
      </c>
      <c r="B24" s="7" t="s">
        <v>1622</v>
      </c>
      <c r="C24" s="78" t="s">
        <v>340</v>
      </c>
      <c r="D24" s="49" t="s">
        <v>1752</v>
      </c>
      <c r="E24" s="220"/>
      <c r="F24" s="68"/>
      <c r="G24" s="42" t="s">
        <v>1922</v>
      </c>
    </row>
    <row r="25" spans="1:7" ht="13.5" thickTop="1">
      <c r="A25" s="82" t="s">
        <v>346</v>
      </c>
      <c r="D25" s="51"/>
      <c r="E25" s="51"/>
      <c r="F25" s="69"/>
    </row>
    <row r="26" spans="1:7">
      <c r="A26" s="82" t="s">
        <v>347</v>
      </c>
      <c r="D26" s="51"/>
      <c r="E26" s="51"/>
      <c r="F26" s="69"/>
    </row>
    <row r="27" spans="1:7">
      <c r="A27" s="3" t="s">
        <v>1575</v>
      </c>
      <c r="B27" s="4" t="str">
        <f>VLOOKUP(A27,Insumos,2)</f>
        <v>cuadrilla tipo UOCRA</v>
      </c>
      <c r="C27" s="6" t="str">
        <f>VLOOKUP(A27,Insumos,3)</f>
        <v>h</v>
      </c>
      <c r="D27" s="51">
        <v>3.98</v>
      </c>
      <c r="E27" s="51">
        <f>VLOOKUP(A27,'IN-10-14'!A27:D901,4,FALSE)</f>
        <v>64.12</v>
      </c>
      <c r="F27" s="69">
        <f>(D27*E27)</f>
        <v>255.19760000000002</v>
      </c>
    </row>
    <row r="28" spans="1:7">
      <c r="A28" s="82" t="s">
        <v>348</v>
      </c>
      <c r="D28" s="51"/>
      <c r="E28" s="51"/>
      <c r="F28" s="69"/>
    </row>
    <row r="29" spans="1:7">
      <c r="A29" s="3" t="s">
        <v>1576</v>
      </c>
      <c r="B29" s="4" t="str">
        <f>VLOOKUP(A29,Insumos,2)</f>
        <v>canasta 1 (camión volcador)</v>
      </c>
      <c r="C29" s="6" t="str">
        <f>VLOOKUP(A29,Insumos,3)</f>
        <v>h</v>
      </c>
      <c r="D29" s="51">
        <v>0.02</v>
      </c>
      <c r="E29" s="51">
        <f>VLOOKUP(A29,'IN-10-14'!A29:D903,4,FALSE)</f>
        <v>557.08467748239605</v>
      </c>
      <c r="F29" s="69">
        <f>(D29*E29)</f>
        <v>11.141693549647922</v>
      </c>
    </row>
    <row r="30" spans="1:7" ht="13.5" thickBot="1">
      <c r="A30" s="3"/>
      <c r="B30" s="4"/>
      <c r="C30" s="6"/>
      <c r="D30" s="51"/>
      <c r="E30" s="220"/>
      <c r="F30" s="69"/>
    </row>
    <row r="31" spans="1:7" ht="13.5" thickTop="1">
      <c r="A31" s="75" t="s">
        <v>342</v>
      </c>
      <c r="B31" s="218" t="s">
        <v>1777</v>
      </c>
      <c r="C31" s="77" t="str">
        <f>Fecha</f>
        <v>Oct-14</v>
      </c>
      <c r="D31" s="48"/>
      <c r="E31" s="51"/>
      <c r="F31" s="219">
        <f>SUM(F33:F38)</f>
        <v>146.60425316179862</v>
      </c>
      <c r="G31" s="41"/>
    </row>
    <row r="32" spans="1:7" ht="13.5" thickBot="1">
      <c r="A32" s="7" t="s">
        <v>341</v>
      </c>
      <c r="B32" s="7" t="s">
        <v>1622</v>
      </c>
      <c r="C32" s="78" t="s">
        <v>340</v>
      </c>
      <c r="D32" s="49" t="s">
        <v>1778</v>
      </c>
      <c r="E32" s="220"/>
      <c r="F32" s="68"/>
      <c r="G32" s="42" t="s">
        <v>1922</v>
      </c>
    </row>
    <row r="33" spans="1:7" ht="13.5" thickTop="1">
      <c r="A33" s="82" t="s">
        <v>346</v>
      </c>
      <c r="D33" s="51"/>
      <c r="E33" s="51"/>
      <c r="F33" s="69"/>
    </row>
    <row r="34" spans="1:7">
      <c r="A34" s="82" t="s">
        <v>347</v>
      </c>
      <c r="D34" s="51"/>
      <c r="E34" s="51"/>
      <c r="F34" s="69"/>
    </row>
    <row r="35" spans="1:7">
      <c r="A35" s="3" t="s">
        <v>1575</v>
      </c>
      <c r="B35" s="4" t="str">
        <f>VLOOKUP(A35,Insumos,2)</f>
        <v>cuadrilla tipo UOCRA</v>
      </c>
      <c r="C35" s="6" t="str">
        <f>VLOOKUP(A35,Insumos,3)</f>
        <v>h</v>
      </c>
      <c r="D35" s="51">
        <v>2</v>
      </c>
      <c r="E35" s="51">
        <f>VLOOKUP(A35,'IN-10-14'!A35:D909,4,FALSE)</f>
        <v>64.12</v>
      </c>
      <c r="F35" s="69">
        <f>(D35*E35)</f>
        <v>128.24</v>
      </c>
    </row>
    <row r="36" spans="1:7">
      <c r="A36" s="82" t="s">
        <v>348</v>
      </c>
      <c r="D36" s="51"/>
      <c r="E36" s="51"/>
      <c r="F36" s="69"/>
    </row>
    <row r="37" spans="1:7">
      <c r="A37" s="3" t="s">
        <v>1753</v>
      </c>
      <c r="B37" s="4" t="str">
        <f>VLOOKUP(A37,Insumos,2)</f>
        <v>motoniveladora</v>
      </c>
      <c r="C37" s="6" t="str">
        <f>VLOOKUP(A37,Insumos,3)</f>
        <v>h</v>
      </c>
      <c r="D37" s="51">
        <v>2.7E-2</v>
      </c>
      <c r="E37" s="51">
        <f>VLOOKUP(A37,'IN-10-14'!A37:D911,4,FALSE)</f>
        <v>680.15752451106016</v>
      </c>
      <c r="F37" s="69">
        <f>(D37*E37)</f>
        <v>18.364253161798626</v>
      </c>
    </row>
    <row r="38" spans="1:7" ht="13.5" thickBot="1">
      <c r="A38" s="3"/>
      <c r="B38" s="4"/>
      <c r="C38" s="6"/>
      <c r="D38" s="51"/>
      <c r="E38" s="51"/>
      <c r="F38" s="69"/>
    </row>
    <row r="39" spans="1:7" ht="13.5" thickTop="1">
      <c r="A39" s="75" t="s">
        <v>342</v>
      </c>
      <c r="B39" s="218" t="s">
        <v>14</v>
      </c>
      <c r="C39" s="77" t="str">
        <f>Fecha</f>
        <v>Oct-14</v>
      </c>
      <c r="D39" s="48"/>
      <c r="E39" s="48"/>
      <c r="F39" s="219">
        <f>SUM(F41:F45)</f>
        <v>148.99969354964793</v>
      </c>
      <c r="G39" s="41"/>
    </row>
    <row r="40" spans="1:7" ht="13.5" thickBot="1">
      <c r="A40" s="7" t="s">
        <v>341</v>
      </c>
      <c r="B40" s="7" t="s">
        <v>1622</v>
      </c>
      <c r="C40" s="78" t="s">
        <v>340</v>
      </c>
      <c r="D40" s="49" t="s">
        <v>1779</v>
      </c>
      <c r="E40" s="50"/>
      <c r="F40" s="68"/>
      <c r="G40" s="42" t="s">
        <v>1922</v>
      </c>
    </row>
    <row r="41" spans="1:7" ht="13.5" thickTop="1">
      <c r="A41" s="82" t="s">
        <v>346</v>
      </c>
      <c r="D41" s="51"/>
      <c r="E41" s="51"/>
      <c r="F41" s="69"/>
    </row>
    <row r="42" spans="1:7">
      <c r="A42" s="82" t="s">
        <v>347</v>
      </c>
      <c r="D42" s="51"/>
      <c r="E42" s="51"/>
      <c r="F42" s="69"/>
    </row>
    <row r="43" spans="1:7">
      <c r="A43" s="3" t="s">
        <v>1575</v>
      </c>
      <c r="B43" s="4" t="str">
        <f>VLOOKUP(A43,Insumos,2)</f>
        <v>cuadrilla tipo UOCRA</v>
      </c>
      <c r="C43" s="6" t="str">
        <f>VLOOKUP(A43,Insumos,3)</f>
        <v>h</v>
      </c>
      <c r="D43" s="51">
        <v>2.15</v>
      </c>
      <c r="E43" s="51">
        <f>VLOOKUP(A43,'IN-10-14'!A43:D917,4,FALSE)</f>
        <v>64.12</v>
      </c>
      <c r="F43" s="69">
        <f>(D43*E43)</f>
        <v>137.858</v>
      </c>
    </row>
    <row r="44" spans="1:7">
      <c r="A44" s="82" t="s">
        <v>348</v>
      </c>
      <c r="D44" s="51"/>
      <c r="E44" s="51"/>
      <c r="F44" s="69"/>
    </row>
    <row r="45" spans="1:7">
      <c r="A45" s="3" t="s">
        <v>1576</v>
      </c>
      <c r="B45" s="4" t="str">
        <f>VLOOKUP(A45,Insumos,2)</f>
        <v>canasta 1 (camión volcador)</v>
      </c>
      <c r="C45" s="6" t="str">
        <f>VLOOKUP(A45,Insumos,3)</f>
        <v>h</v>
      </c>
      <c r="D45" s="51">
        <v>0.02</v>
      </c>
      <c r="E45" s="51">
        <f>VLOOKUP(A45,'IN-10-14'!A45:D919,4,FALSE)</f>
        <v>557.08467748239605</v>
      </c>
      <c r="F45" s="69">
        <f>(D45*E45)</f>
        <v>11.141693549647922</v>
      </c>
    </row>
    <row r="46" spans="1:7" ht="13.5" thickBot="1">
      <c r="A46" s="3"/>
      <c r="B46" s="4"/>
      <c r="C46" s="6"/>
      <c r="D46" s="51"/>
      <c r="E46" s="51"/>
      <c r="F46" s="69"/>
    </row>
    <row r="47" spans="1:7" ht="13.5" thickTop="1">
      <c r="A47" s="75" t="s">
        <v>342</v>
      </c>
      <c r="B47" s="218" t="s">
        <v>366</v>
      </c>
      <c r="C47" s="77" t="str">
        <f>Fecha</f>
        <v>Oct-14</v>
      </c>
      <c r="D47" s="48"/>
      <c r="E47" s="48"/>
      <c r="F47" s="219">
        <f>SUM(F49:F53)</f>
        <v>26.600715009398627</v>
      </c>
      <c r="G47" s="41"/>
    </row>
    <row r="48" spans="1:7" ht="13.5" thickBot="1">
      <c r="A48" s="7" t="s">
        <v>341</v>
      </c>
      <c r="B48" s="7" t="s">
        <v>1622</v>
      </c>
      <c r="C48" s="78" t="s">
        <v>340</v>
      </c>
      <c r="D48" s="49" t="s">
        <v>368</v>
      </c>
      <c r="E48" s="50"/>
      <c r="F48" s="68"/>
      <c r="G48" s="42" t="s">
        <v>1922</v>
      </c>
    </row>
    <row r="49" spans="1:8" ht="13.5" thickTop="1">
      <c r="A49" s="82" t="s">
        <v>346</v>
      </c>
      <c r="D49" s="51"/>
      <c r="E49" s="51"/>
      <c r="F49" s="69"/>
    </row>
    <row r="50" spans="1:8">
      <c r="A50" s="82" t="s">
        <v>347</v>
      </c>
      <c r="D50" s="51"/>
      <c r="E50" s="51"/>
      <c r="F50" s="69"/>
    </row>
    <row r="51" spans="1:8">
      <c r="A51" s="3" t="s">
        <v>1575</v>
      </c>
      <c r="B51" s="4" t="str">
        <f>VLOOKUP(A51,Insumos,2)</f>
        <v>cuadrilla tipo UOCRA</v>
      </c>
      <c r="C51" s="6" t="str">
        <f>VLOOKUP(A51,Insumos,3)</f>
        <v>h</v>
      </c>
      <c r="D51" s="51">
        <v>0.16400000000000001</v>
      </c>
      <c r="E51" s="51">
        <f>VLOOKUP(A51,'IN-10-14'!A51:D925,4,FALSE)</f>
        <v>64.12</v>
      </c>
      <c r="F51" s="69">
        <f>(D51*E51)</f>
        <v>10.515680000000001</v>
      </c>
      <c r="H51" s="86"/>
    </row>
    <row r="52" spans="1:8">
      <c r="A52" s="82" t="s">
        <v>348</v>
      </c>
      <c r="D52" s="51"/>
      <c r="E52" s="51"/>
      <c r="F52" s="69"/>
    </row>
    <row r="53" spans="1:8">
      <c r="A53" s="3" t="s">
        <v>1894</v>
      </c>
      <c r="B53" s="4" t="str">
        <f>VLOOKUP(A53,Insumos,2)</f>
        <v>canasta 3 (retroexcavadora 87 HP)</v>
      </c>
      <c r="C53" s="6" t="str">
        <f>VLOOKUP(A53,Insumos,3)</f>
        <v>h</v>
      </c>
      <c r="D53" s="51">
        <v>3.5000000000000003E-2</v>
      </c>
      <c r="E53" s="51">
        <f>VLOOKUP(A53,'IN-10-14'!A53:D927,4,FALSE)</f>
        <v>459.57242883996059</v>
      </c>
      <c r="F53" s="69">
        <f>(D53*E53)</f>
        <v>16.085035009398624</v>
      </c>
      <c r="H53" s="86"/>
    </row>
    <row r="54" spans="1:8" ht="13.5" thickBot="1"/>
    <row r="55" spans="1:8" ht="13.5" thickTop="1">
      <c r="A55" s="75" t="s">
        <v>342</v>
      </c>
      <c r="B55" s="218" t="s">
        <v>367</v>
      </c>
      <c r="C55" s="77" t="str">
        <f>Fecha</f>
        <v>Oct-14</v>
      </c>
      <c r="D55" s="48"/>
      <c r="E55" s="48"/>
      <c r="F55" s="219">
        <f>SUM(F57:F62)</f>
        <v>7.785613874415537</v>
      </c>
      <c r="G55" s="41"/>
    </row>
    <row r="56" spans="1:8" ht="13.5" thickBot="1">
      <c r="A56" s="7" t="s">
        <v>341</v>
      </c>
      <c r="B56" s="7" t="s">
        <v>1622</v>
      </c>
      <c r="C56" s="78" t="s">
        <v>340</v>
      </c>
      <c r="D56" s="49" t="s">
        <v>369</v>
      </c>
      <c r="E56" s="50"/>
      <c r="F56" s="68"/>
      <c r="G56" s="42" t="s">
        <v>1922</v>
      </c>
    </row>
    <row r="57" spans="1:8" ht="13.5" thickTop="1">
      <c r="A57" s="82" t="s">
        <v>346</v>
      </c>
      <c r="D57" s="51"/>
      <c r="E57" s="51"/>
      <c r="F57" s="69"/>
    </row>
    <row r="58" spans="1:8">
      <c r="A58" s="82" t="s">
        <v>347</v>
      </c>
      <c r="D58" s="51"/>
      <c r="E58" s="51"/>
      <c r="F58" s="69"/>
    </row>
    <row r="59" spans="1:8">
      <c r="A59" s="3" t="s">
        <v>1575</v>
      </c>
      <c r="B59" s="4" t="str">
        <f>VLOOKUP(A59,Insumos,2)</f>
        <v>cuadrilla tipo UOCRA</v>
      </c>
      <c r="C59" s="6" t="str">
        <f>VLOOKUP(A59,Insumos,3)</f>
        <v>h</v>
      </c>
      <c r="D59" s="51">
        <v>0.05</v>
      </c>
      <c r="E59" s="51">
        <f>VLOOKUP(A59,'IN-10-14'!A59:D933,4,FALSE)</f>
        <v>64.12</v>
      </c>
      <c r="F59" s="69">
        <f>(D59*E59)</f>
        <v>3.2060000000000004</v>
      </c>
      <c r="H59" s="86"/>
    </row>
    <row r="60" spans="1:8">
      <c r="A60" s="82" t="s">
        <v>348</v>
      </c>
      <c r="D60" s="51"/>
      <c r="E60" s="51"/>
      <c r="F60" s="69"/>
    </row>
    <row r="61" spans="1:8">
      <c r="A61" s="3" t="s">
        <v>1894</v>
      </c>
      <c r="B61" s="4" t="str">
        <f>VLOOKUP(A61,Insumos,2)</f>
        <v>canasta 3 (retroexcavadora 87 HP)</v>
      </c>
      <c r="C61" s="6" t="str">
        <f>VLOOKUP(A61,Insumos,3)</f>
        <v>h</v>
      </c>
      <c r="D61" s="51">
        <v>5.0000000000000001E-3</v>
      </c>
      <c r="E61" s="51">
        <f>VLOOKUP(A61,'IN-10-14'!A61:D935,4,FALSE)</f>
        <v>459.57242883996059</v>
      </c>
      <c r="F61" s="69">
        <f>(D61*E61)</f>
        <v>2.2978621441998031</v>
      </c>
      <c r="H61" s="86"/>
    </row>
    <row r="62" spans="1:8">
      <c r="A62" s="3" t="s">
        <v>1754</v>
      </c>
      <c r="B62" s="4" t="str">
        <f>VLOOKUP(A62,Insumos,2)</f>
        <v>vibrocompactador autopropulsado 120 HP</v>
      </c>
      <c r="C62" s="6" t="str">
        <f>VLOOKUP(A62,Insumos,3)</f>
        <v>h</v>
      </c>
      <c r="D62" s="51">
        <v>5.0000000000000001E-3</v>
      </c>
      <c r="E62" s="51">
        <f>VLOOKUP(A62,'IN-10-14'!A62:D936,4,FALSE)</f>
        <v>456.35034604314671</v>
      </c>
      <c r="F62" s="69">
        <f>(D62*E62)</f>
        <v>2.2817517302157335</v>
      </c>
      <c r="H62" s="86"/>
    </row>
  </sheetData>
  <customSheetViews>
    <customSheetView guid="{0D76B64C-AC04-4788-917D-4511FD9E9090}" showGridLines="0" hiddenColumns="1" showRuler="0" topLeftCell="A37">
      <selection activeCell="D39" sqref="D39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 topLeftCell="A42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B21" sqref="B20:B21"/>
      <pageMargins left="0.78740157480314965" right="0.39370078740157483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4">
    <tabColor indexed="53"/>
  </sheetPr>
  <dimension ref="A1:G48"/>
  <sheetViews>
    <sheetView showGridLines="0" zoomScale="90" zoomScaleNormal="75" zoomScaleSheetLayoutView="75" workbookViewId="0">
      <selection activeCell="F37" sqref="F37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1785</v>
      </c>
      <c r="C2" s="77" t="str">
        <f>Fecha</f>
        <v>Oct-14</v>
      </c>
      <c r="D2" s="48"/>
      <c r="E2" s="48"/>
      <c r="F2" s="219">
        <f>SUM(F4:F11)</f>
        <v>54.882970489787901</v>
      </c>
      <c r="G2" s="41"/>
    </row>
    <row r="3" spans="1:7" ht="13.5" thickBot="1">
      <c r="A3" s="7" t="s">
        <v>341</v>
      </c>
      <c r="B3" s="7" t="s">
        <v>1623</v>
      </c>
      <c r="C3" s="78" t="s">
        <v>340</v>
      </c>
      <c r="D3" s="49" t="s">
        <v>1784</v>
      </c>
      <c r="E3" s="50"/>
      <c r="F3" s="68"/>
      <c r="G3" s="42" t="s">
        <v>1876</v>
      </c>
    </row>
    <row r="4" spans="1:7" ht="13.5" thickTop="1">
      <c r="A4" s="82" t="s">
        <v>346</v>
      </c>
      <c r="D4" s="51"/>
      <c r="E4" s="51"/>
      <c r="F4" s="69"/>
    </row>
    <row r="5" spans="1:7">
      <c r="A5" s="3" t="s">
        <v>1578</v>
      </c>
      <c r="B5" s="4" t="str">
        <f>VLOOKUP(A5,Insumos,2)</f>
        <v>cemento Portland</v>
      </c>
      <c r="C5" s="6" t="str">
        <f>VLOOKUP(A5,Insumos,3)</f>
        <v>kg</v>
      </c>
      <c r="D5" s="51">
        <v>10</v>
      </c>
      <c r="E5" s="51">
        <f>VLOOKUP(A5,'IN-10-14'!A6:D880,4,FALSE)</f>
        <v>1.7372000000000001</v>
      </c>
      <c r="F5" s="69">
        <f>(D5*E5)</f>
        <v>17.372</v>
      </c>
    </row>
    <row r="6" spans="1:7">
      <c r="A6" s="3" t="s">
        <v>1579</v>
      </c>
      <c r="B6" s="4" t="str">
        <f>VLOOKUP(A6,Insumos,2)</f>
        <v>ripio zarandeado 1/3</v>
      </c>
      <c r="C6" s="6" t="str">
        <f>VLOOKUP(A6,Insumos,3)</f>
        <v>m3</v>
      </c>
      <c r="D6" s="51">
        <v>3.5000000000000003E-2</v>
      </c>
      <c r="E6" s="51">
        <f>VLOOKUP(A6,'IN-10-14'!A7:D881,4,FALSE)</f>
        <v>157.18044077134985</v>
      </c>
      <c r="F6" s="69">
        <f>(D6*E6)</f>
        <v>5.5013154269972455</v>
      </c>
    </row>
    <row r="7" spans="1:7">
      <c r="A7" s="3" t="s">
        <v>1580</v>
      </c>
      <c r="B7" s="4" t="str">
        <f>VLOOKUP(A7,Insumos,2)</f>
        <v>arena gruesa</v>
      </c>
      <c r="C7" s="6" t="str">
        <f>VLOOKUP(A7,Insumos,3)</f>
        <v>m3</v>
      </c>
      <c r="D7" s="51">
        <v>0.03</v>
      </c>
      <c r="E7" s="51">
        <f>VLOOKUP(A7,'IN-10-14'!A8:D882,4,FALSE)</f>
        <v>184.46464646464645</v>
      </c>
      <c r="F7" s="69">
        <f>(D7*E7)</f>
        <v>5.5339393939393933</v>
      </c>
    </row>
    <row r="8" spans="1:7">
      <c r="A8" s="82" t="s">
        <v>347</v>
      </c>
      <c r="D8" s="51"/>
      <c r="E8" s="51"/>
      <c r="F8" s="69"/>
    </row>
    <row r="9" spans="1:7">
      <c r="A9" s="3" t="s">
        <v>1575</v>
      </c>
      <c r="B9" s="4" t="str">
        <f>VLOOKUP(A9,Insumos,2)</f>
        <v>cuadrilla tipo UOCRA</v>
      </c>
      <c r="C9" s="6" t="str">
        <f>VLOOKUP(A9,Insumos,3)</f>
        <v>h</v>
      </c>
      <c r="D9" s="51">
        <v>0.4</v>
      </c>
      <c r="E9" s="51">
        <f>VLOOKUP(A9,'IN-10-14'!A10:D884,4,FALSE)</f>
        <v>64.12</v>
      </c>
      <c r="F9" s="69">
        <f>(D9*E9)</f>
        <v>25.648000000000003</v>
      </c>
    </row>
    <row r="10" spans="1:7">
      <c r="A10" s="82" t="s">
        <v>348</v>
      </c>
      <c r="D10" s="51"/>
      <c r="E10" s="51"/>
      <c r="F10" s="69"/>
    </row>
    <row r="11" spans="1:7">
      <c r="A11" s="3" t="s">
        <v>1581</v>
      </c>
      <c r="B11" s="4" t="str">
        <f>VLOOKUP(A11,Insumos,2)</f>
        <v>canasta 2 (mixer 5m3)</v>
      </c>
      <c r="C11" s="6" t="str">
        <f>VLOOKUP(A11,Insumos,3)</f>
        <v>h</v>
      </c>
      <c r="D11" s="51">
        <v>1E-3</v>
      </c>
      <c r="E11" s="51">
        <f>VLOOKUP(A11,'IN-10-14'!A12:D886,4,FALSE)</f>
        <v>827.71566885125844</v>
      </c>
      <c r="F11" s="69">
        <f>(D11*E11)</f>
        <v>0.82771566885125847</v>
      </c>
    </row>
    <row r="12" spans="1:7" ht="13.5" thickBot="1">
      <c r="D12" s="51"/>
    </row>
    <row r="13" spans="1:7" ht="13.5" thickTop="1">
      <c r="A13" s="75" t="s">
        <v>342</v>
      </c>
      <c r="B13" s="218" t="s">
        <v>1795</v>
      </c>
      <c r="C13" s="77" t="str">
        <f>Fecha</f>
        <v>Oct-14</v>
      </c>
      <c r="D13" s="48"/>
      <c r="E13" s="48"/>
      <c r="F13" s="219">
        <f>SUM(F15:F23)</f>
        <v>2630.7434733942946</v>
      </c>
      <c r="G13" s="41"/>
    </row>
    <row r="14" spans="1:7" ht="13.5" thickBot="1">
      <c r="A14" s="7" t="s">
        <v>341</v>
      </c>
      <c r="B14" s="7" t="s">
        <v>1623</v>
      </c>
      <c r="C14" s="78" t="s">
        <v>340</v>
      </c>
      <c r="D14" s="49" t="s">
        <v>1807</v>
      </c>
      <c r="E14" s="50"/>
      <c r="F14" s="68"/>
      <c r="G14" s="42" t="s">
        <v>1922</v>
      </c>
    </row>
    <row r="15" spans="1:7" ht="13.5" thickTop="1">
      <c r="A15" s="82" t="s">
        <v>346</v>
      </c>
      <c r="D15" s="51"/>
      <c r="E15" s="51"/>
      <c r="F15" s="69"/>
    </row>
    <row r="16" spans="1:7">
      <c r="A16" s="3" t="s">
        <v>1577</v>
      </c>
      <c r="B16" s="4" t="str">
        <f>VLOOKUP(A16,Insumos,2)</f>
        <v>hierro mejorado de 10 mm.</v>
      </c>
      <c r="C16" s="6" t="str">
        <f>VLOOKUP(A16,Insumos,3)</f>
        <v>kg</v>
      </c>
      <c r="D16" s="51">
        <v>58.78</v>
      </c>
      <c r="E16" s="51">
        <f>VLOOKUP(A16,'IN-10-14'!A7:D7,4,FALSE)</f>
        <v>10.584654902836721</v>
      </c>
      <c r="F16" s="69">
        <f>(D16*E16)</f>
        <v>622.16601518874245</v>
      </c>
    </row>
    <row r="17" spans="1:7">
      <c r="A17" s="3" t="s">
        <v>1578</v>
      </c>
      <c r="B17" s="4" t="str">
        <f>VLOOKUP(A17,Insumos,2)</f>
        <v>cemento Portland</v>
      </c>
      <c r="C17" s="6" t="str">
        <f>VLOOKUP(A17,Insumos,3)</f>
        <v>kg</v>
      </c>
      <c r="D17" s="51">
        <v>250</v>
      </c>
      <c r="E17" s="51">
        <f>VLOOKUP(A17,'IN-10-14'!A18:D892,4,FALSE)</f>
        <v>1.7372000000000001</v>
      </c>
      <c r="F17" s="69">
        <f>(D17*E17)</f>
        <v>434.3</v>
      </c>
    </row>
    <row r="18" spans="1:7">
      <c r="A18" s="3" t="s">
        <v>1579</v>
      </c>
      <c r="B18" s="4" t="str">
        <f>VLOOKUP(A18,Insumos,2)</f>
        <v>ripio zarandeado 1/3</v>
      </c>
      <c r="C18" s="6" t="str">
        <f>VLOOKUP(A18,Insumos,3)</f>
        <v>m3</v>
      </c>
      <c r="D18" s="51">
        <v>0.7</v>
      </c>
      <c r="E18" s="51">
        <f>VLOOKUP(A18,'IN-10-14'!A19:D893,4,FALSE)</f>
        <v>157.18044077134985</v>
      </c>
      <c r="F18" s="69">
        <f>(D18*E18)</f>
        <v>110.02630853994489</v>
      </c>
    </row>
    <row r="19" spans="1:7">
      <c r="A19" s="3" t="s">
        <v>1580</v>
      </c>
      <c r="B19" s="4" t="str">
        <f>VLOOKUP(A19,Insumos,2)</f>
        <v>arena gruesa</v>
      </c>
      <c r="C19" s="6" t="str">
        <f>VLOOKUP(A19,Insumos,3)</f>
        <v>m3</v>
      </c>
      <c r="D19" s="51">
        <v>0.6</v>
      </c>
      <c r="E19" s="51">
        <f>VLOOKUP(A19,'IN-10-14'!A20:D894,4,FALSE)</f>
        <v>184.46464646464645</v>
      </c>
      <c r="F19" s="69">
        <f>(D19*E19)</f>
        <v>110.67878787878787</v>
      </c>
    </row>
    <row r="20" spans="1:7">
      <c r="A20" s="82" t="s">
        <v>347</v>
      </c>
      <c r="D20" s="51"/>
      <c r="E20" s="51"/>
      <c r="F20" s="69"/>
    </row>
    <row r="21" spans="1:7">
      <c r="A21" s="3" t="s">
        <v>1575</v>
      </c>
      <c r="B21" s="4" t="str">
        <f>VLOOKUP(A21,Insumos,2)</f>
        <v>cuadrilla tipo UOCRA</v>
      </c>
      <c r="C21" s="6" t="str">
        <f>VLOOKUP(A21,Insumos,3)</f>
        <v>h</v>
      </c>
      <c r="D21" s="56">
        <v>20.399999999999999</v>
      </c>
      <c r="E21" s="51">
        <f>VLOOKUP(A21,'IN-10-14'!A22:D896,4,FALSE)</f>
        <v>64.12</v>
      </c>
      <c r="F21" s="69">
        <f>(D21*E21)</f>
        <v>1308.048</v>
      </c>
    </row>
    <row r="22" spans="1:7">
      <c r="A22" s="82" t="s">
        <v>348</v>
      </c>
      <c r="D22" s="51"/>
      <c r="E22" s="51"/>
      <c r="F22" s="69"/>
    </row>
    <row r="23" spans="1:7">
      <c r="A23" s="3" t="s">
        <v>1581</v>
      </c>
      <c r="B23" s="4" t="str">
        <f>VLOOKUP(A23,Insumos,2)</f>
        <v>canasta 2 (mixer 5m3)</v>
      </c>
      <c r="C23" s="6" t="str">
        <f>VLOOKUP(A23,Insumos,3)</f>
        <v>h</v>
      </c>
      <c r="D23" s="51">
        <v>5.5E-2</v>
      </c>
      <c r="E23" s="51">
        <f>VLOOKUP(A23,'IN-10-14'!A24:D898,4,FALSE)</f>
        <v>827.71566885125844</v>
      </c>
      <c r="F23" s="69">
        <f>(D23*E23)</f>
        <v>45.524361786819213</v>
      </c>
    </row>
    <row r="24" spans="1:7" ht="13.5" thickBot="1">
      <c r="D24" s="51"/>
      <c r="E24" s="51"/>
      <c r="F24" s="69"/>
    </row>
    <row r="25" spans="1:7" ht="13.5" thickTop="1">
      <c r="A25" s="75" t="s">
        <v>342</v>
      </c>
      <c r="B25" s="218" t="s">
        <v>1796</v>
      </c>
      <c r="C25" s="77" t="str">
        <f>Fecha</f>
        <v>Oct-14</v>
      </c>
      <c r="D25" s="48"/>
      <c r="E25" s="48"/>
      <c r="F25" s="219">
        <f>SUM(F27:F35)</f>
        <v>3350.1369386612141</v>
      </c>
      <c r="G25" s="41"/>
    </row>
    <row r="26" spans="1:7" ht="13.5" thickBot="1">
      <c r="A26" s="7" t="s">
        <v>341</v>
      </c>
      <c r="B26" s="7" t="s">
        <v>1623</v>
      </c>
      <c r="C26" s="78" t="s">
        <v>340</v>
      </c>
      <c r="D26" s="49" t="s">
        <v>1806</v>
      </c>
      <c r="E26" s="50"/>
      <c r="F26" s="68"/>
      <c r="G26" s="42" t="s">
        <v>1922</v>
      </c>
    </row>
    <row r="27" spans="1:7" ht="13.5" thickTop="1">
      <c r="A27" s="82" t="s">
        <v>346</v>
      </c>
      <c r="D27" s="51"/>
      <c r="E27" s="51"/>
      <c r="F27" s="69"/>
    </row>
    <row r="28" spans="1:7">
      <c r="A28" s="3" t="s">
        <v>1577</v>
      </c>
      <c r="B28" s="4" t="str">
        <f>VLOOKUP(A28,Insumos,2)</f>
        <v>hierro mejorado de 10 mm.</v>
      </c>
      <c r="C28" s="6" t="str">
        <f>VLOOKUP(A28,Insumos,3)</f>
        <v>kg</v>
      </c>
      <c r="D28" s="51">
        <v>72.5</v>
      </c>
      <c r="E28" s="51">
        <f>VLOOKUP(A28,'IN-10-14'!A7:D7,4,FALSE)</f>
        <v>10.584654902836721</v>
      </c>
      <c r="F28" s="69">
        <f>(D28*E28)</f>
        <v>767.38748045566228</v>
      </c>
    </row>
    <row r="29" spans="1:7">
      <c r="A29" s="3" t="s">
        <v>1578</v>
      </c>
      <c r="B29" s="4" t="str">
        <f>VLOOKUP(A29,Insumos,2)</f>
        <v>cemento Portland</v>
      </c>
      <c r="C29" s="6" t="str">
        <f>VLOOKUP(A29,Insumos,3)</f>
        <v>kg</v>
      </c>
      <c r="D29" s="51">
        <v>300</v>
      </c>
      <c r="E29" s="51">
        <f>VLOOKUP(A29,'IN-10-14'!A30:D904,4,FALSE)</f>
        <v>1.7372000000000001</v>
      </c>
      <c r="F29" s="69">
        <f>(D29*E29)</f>
        <v>521.16</v>
      </c>
    </row>
    <row r="30" spans="1:7">
      <c r="A30" s="3" t="s">
        <v>1579</v>
      </c>
      <c r="B30" s="4" t="str">
        <f>VLOOKUP(A30,Insumos,2)</f>
        <v>ripio zarandeado 1/3</v>
      </c>
      <c r="C30" s="6" t="str">
        <f>VLOOKUP(A30,Insumos,3)</f>
        <v>m3</v>
      </c>
      <c r="D30" s="51">
        <v>0.7</v>
      </c>
      <c r="E30" s="51">
        <f>VLOOKUP(A30,'IN-10-14'!A31:D905,4,FALSE)</f>
        <v>157.18044077134985</v>
      </c>
      <c r="F30" s="69">
        <f>(D30*E30)</f>
        <v>110.02630853994489</v>
      </c>
    </row>
    <row r="31" spans="1:7">
      <c r="A31" s="3" t="s">
        <v>1580</v>
      </c>
      <c r="B31" s="4" t="str">
        <f>VLOOKUP(A31,Insumos,2)</f>
        <v>arena gruesa</v>
      </c>
      <c r="C31" s="6" t="str">
        <f>VLOOKUP(A31,Insumos,3)</f>
        <v>m3</v>
      </c>
      <c r="D31" s="51">
        <v>0.6</v>
      </c>
      <c r="E31" s="51">
        <f>VLOOKUP(A31,'IN-10-14'!A32:D906,4,FALSE)</f>
        <v>184.46464646464645</v>
      </c>
      <c r="F31" s="69">
        <f>(D31*E31)</f>
        <v>110.67878787878787</v>
      </c>
    </row>
    <row r="32" spans="1:7">
      <c r="A32" s="82" t="s">
        <v>347</v>
      </c>
      <c r="D32" s="51"/>
      <c r="E32" s="51"/>
      <c r="F32" s="69"/>
    </row>
    <row r="33" spans="1:7">
      <c r="A33" s="3" t="s">
        <v>1575</v>
      </c>
      <c r="B33" s="4" t="str">
        <f>VLOOKUP(A33,Insumos,2)</f>
        <v>cuadrilla tipo UOCRA</v>
      </c>
      <c r="C33" s="6" t="str">
        <f>VLOOKUP(A33,Insumos,3)</f>
        <v>h</v>
      </c>
      <c r="D33" s="64">
        <v>28</v>
      </c>
      <c r="E33" s="51">
        <f>VLOOKUP(A33,'IN-10-14'!A34:D908,4,FALSE)</f>
        <v>64.12</v>
      </c>
      <c r="F33" s="69">
        <f>(D33*E33)</f>
        <v>1795.3600000000001</v>
      </c>
    </row>
    <row r="34" spans="1:7">
      <c r="A34" s="82" t="s">
        <v>348</v>
      </c>
      <c r="D34" s="51"/>
      <c r="E34" s="51"/>
      <c r="F34" s="69"/>
    </row>
    <row r="35" spans="1:7">
      <c r="A35" s="3" t="s">
        <v>1581</v>
      </c>
      <c r="B35" s="4" t="str">
        <f>VLOOKUP(A35,Insumos,2)</f>
        <v>canasta 2 (mixer 5m3)</v>
      </c>
      <c r="C35" s="6" t="str">
        <f>VLOOKUP(A35,Insumos,3)</f>
        <v>h</v>
      </c>
      <c r="D35" s="51">
        <v>5.5E-2</v>
      </c>
      <c r="E35" s="51">
        <f>VLOOKUP(A35,'IN-10-14'!A36:D910,4,FALSE)</f>
        <v>827.71566885125844</v>
      </c>
      <c r="F35" s="69">
        <f>(D35*E35)</f>
        <v>45.524361786819213</v>
      </c>
    </row>
    <row r="36" spans="1:7" ht="13.5" thickBot="1">
      <c r="A36" s="3"/>
      <c r="B36" s="4"/>
      <c r="C36" s="6"/>
      <c r="D36" s="51"/>
      <c r="E36" s="51"/>
      <c r="F36" s="69"/>
    </row>
    <row r="37" spans="1:7" ht="13.5" thickTop="1">
      <c r="A37" s="75" t="s">
        <v>342</v>
      </c>
      <c r="B37" s="218" t="s">
        <v>1805</v>
      </c>
      <c r="C37" s="77" t="str">
        <f>Fecha</f>
        <v>Oct-14</v>
      </c>
      <c r="D37" s="48"/>
      <c r="E37" s="48"/>
      <c r="F37" s="219">
        <f>SUM(F39:F47)</f>
        <v>3225.3604582055523</v>
      </c>
      <c r="G37" s="41"/>
    </row>
    <row r="38" spans="1:7" ht="13.5" thickBot="1">
      <c r="A38" s="7" t="s">
        <v>341</v>
      </c>
      <c r="B38" s="7" t="s">
        <v>1623</v>
      </c>
      <c r="C38" s="78" t="s">
        <v>340</v>
      </c>
      <c r="D38" s="49" t="s">
        <v>1808</v>
      </c>
      <c r="E38" s="50"/>
      <c r="F38" s="68"/>
      <c r="G38" s="42" t="s">
        <v>1922</v>
      </c>
    </row>
    <row r="39" spans="1:7" ht="13.5" thickTop="1">
      <c r="A39" s="82" t="s">
        <v>346</v>
      </c>
      <c r="D39" s="51"/>
      <c r="E39" s="51"/>
      <c r="F39" s="69"/>
    </row>
    <row r="40" spans="1:7">
      <c r="A40" s="3" t="s">
        <v>1582</v>
      </c>
      <c r="B40" s="4" t="str">
        <f>VLOOKUP(A40,Insumos,2)</f>
        <v>malla Sima R92</v>
      </c>
      <c r="C40" s="6" t="str">
        <f>VLOOKUP(A40,Insumos,3)</f>
        <v>kg</v>
      </c>
      <c r="D40" s="51">
        <v>48.25</v>
      </c>
      <c r="E40" s="51">
        <f>VLOOKUP(A40,'IN-10-14'!A9:D9,4,FALSE)</f>
        <v>18.036000000000001</v>
      </c>
      <c r="F40" s="69">
        <f>(D40*E40)</f>
        <v>870.23700000000008</v>
      </c>
    </row>
    <row r="41" spans="1:7">
      <c r="A41" s="3" t="s">
        <v>1578</v>
      </c>
      <c r="B41" s="4" t="str">
        <f>VLOOKUP(A41,Insumos,2)</f>
        <v>cemento Portland</v>
      </c>
      <c r="C41" s="6" t="str">
        <f>VLOOKUP(A41,Insumos,3)</f>
        <v>kg</v>
      </c>
      <c r="D41" s="51">
        <v>300</v>
      </c>
      <c r="E41" s="51">
        <f>VLOOKUP(A41,'IN-10-14'!A42:D916,4,FALSE)</f>
        <v>1.7372000000000001</v>
      </c>
      <c r="F41" s="69">
        <f>(D41*E41)</f>
        <v>521.16</v>
      </c>
    </row>
    <row r="42" spans="1:7">
      <c r="A42" s="3" t="s">
        <v>1579</v>
      </c>
      <c r="B42" s="4" t="str">
        <f>VLOOKUP(A42,Insumos,2)</f>
        <v>ripio zarandeado 1/3</v>
      </c>
      <c r="C42" s="6" t="str">
        <f>VLOOKUP(A42,Insumos,3)</f>
        <v>m3</v>
      </c>
      <c r="D42" s="51">
        <v>0.7</v>
      </c>
      <c r="E42" s="51">
        <f>VLOOKUP(A42,'IN-10-14'!A43:D917,4,FALSE)</f>
        <v>157.18044077134985</v>
      </c>
      <c r="F42" s="69">
        <f>(D42*E42)</f>
        <v>110.02630853994489</v>
      </c>
    </row>
    <row r="43" spans="1:7">
      <c r="A43" s="229" t="s">
        <v>1580</v>
      </c>
      <c r="B43" s="4" t="str">
        <f>VLOOKUP(A43,Insumos,2)</f>
        <v>arena gruesa</v>
      </c>
      <c r="C43" s="6" t="str">
        <f>VLOOKUP(A43,Insumos,3)</f>
        <v>m3</v>
      </c>
      <c r="D43" s="51">
        <v>0.6</v>
      </c>
      <c r="E43" s="51">
        <f>VLOOKUP(A43,'IN-10-14'!A21:D61,4,FALSE)</f>
        <v>184.46464646464645</v>
      </c>
      <c r="F43" s="69">
        <f>(D43*E43)</f>
        <v>110.67878787878787</v>
      </c>
    </row>
    <row r="44" spans="1:7">
      <c r="A44" s="82" t="s">
        <v>347</v>
      </c>
      <c r="D44" s="51"/>
      <c r="E44" s="51"/>
      <c r="F44" s="69"/>
    </row>
    <row r="45" spans="1:7">
      <c r="A45" s="3" t="s">
        <v>1575</v>
      </c>
      <c r="B45" s="4" t="str">
        <f>VLOOKUP(A45,Insumos,2)</f>
        <v>cuadrilla tipo UOCRA</v>
      </c>
      <c r="C45" s="6" t="str">
        <f>VLOOKUP(A45,Insumos,3)</f>
        <v>h</v>
      </c>
      <c r="D45" s="51">
        <v>24.45</v>
      </c>
      <c r="E45" s="51">
        <f>VLOOKUP(A45,'IN-10-14'!A46:D920,4,FALSE)</f>
        <v>64.12</v>
      </c>
      <c r="F45" s="69">
        <f>(D45*E45)</f>
        <v>1567.7340000000002</v>
      </c>
    </row>
    <row r="46" spans="1:7">
      <c r="A46" s="82" t="s">
        <v>348</v>
      </c>
      <c r="D46" s="51"/>
      <c r="E46" s="51"/>
      <c r="F46" s="69"/>
    </row>
    <row r="47" spans="1:7">
      <c r="A47" s="3" t="s">
        <v>1581</v>
      </c>
      <c r="B47" s="4" t="str">
        <f>VLOOKUP(A47,Insumos,2)</f>
        <v>canasta 2 (mixer 5m3)</v>
      </c>
      <c r="C47" s="6" t="str">
        <f>VLOOKUP(A47,Insumos,3)</f>
        <v>h</v>
      </c>
      <c r="D47" s="51">
        <v>5.5E-2</v>
      </c>
      <c r="E47" s="51">
        <f>VLOOKUP(A47,'IN-10-14'!A48:D922,4,FALSE)</f>
        <v>827.71566885125844</v>
      </c>
      <c r="F47" s="69">
        <f>(D47*E47)</f>
        <v>45.524361786819213</v>
      </c>
    </row>
    <row r="48" spans="1:7">
      <c r="D48" s="51"/>
      <c r="E48" s="51"/>
      <c r="F48" s="69"/>
    </row>
  </sheetData>
  <customSheetViews>
    <customSheetView guid="{0D76B64C-AC04-4788-917D-4511FD9E9090}" showPageBreaks="1" showGridLines="0" printArea="1" hiddenColumns="1" showRuler="0">
      <selection activeCell="D8" sqref="D8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D18" sqref="D18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syncVertical="1" syncRef="A64" transitionEvaluation="1" codeName="Hoja5">
    <tabColor indexed="14"/>
  </sheetPr>
  <dimension ref="A1:H134"/>
  <sheetViews>
    <sheetView showGridLines="0" topLeftCell="A64" zoomScale="90" zoomScaleNormal="75" zoomScaleSheetLayoutView="75" workbookViewId="0">
      <selection activeCell="E89" sqref="E89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8" ht="13.5" thickBot="1">
      <c r="A1" s="3"/>
      <c r="B1" s="4"/>
      <c r="C1" s="6"/>
      <c r="D1" s="51"/>
      <c r="E1" s="51"/>
      <c r="F1" s="69"/>
    </row>
    <row r="2" spans="1:8" ht="13.5" thickTop="1">
      <c r="A2" s="75" t="s">
        <v>342</v>
      </c>
      <c r="B2" s="218" t="s">
        <v>15</v>
      </c>
      <c r="C2" s="77" t="str">
        <f>Fecha</f>
        <v>Oct-14</v>
      </c>
      <c r="D2" s="48"/>
      <c r="E2" s="48"/>
      <c r="F2" s="219">
        <f>SUM(F4:F13)</f>
        <v>5271.0023231268751</v>
      </c>
      <c r="G2" s="41"/>
    </row>
    <row r="3" spans="1:8" ht="13.5" thickBot="1">
      <c r="A3" s="7" t="s">
        <v>341</v>
      </c>
      <c r="B3" s="7" t="s">
        <v>1624</v>
      </c>
      <c r="C3" s="78" t="s">
        <v>340</v>
      </c>
      <c r="D3" s="49" t="s">
        <v>16</v>
      </c>
      <c r="E3" s="50"/>
      <c r="F3" s="68"/>
      <c r="G3" s="42" t="s">
        <v>1922</v>
      </c>
    </row>
    <row r="4" spans="1:8" ht="13.5" thickTop="1">
      <c r="A4" s="82" t="s">
        <v>346</v>
      </c>
      <c r="D4" s="51"/>
      <c r="E4" s="51"/>
      <c r="F4" s="69"/>
    </row>
    <row r="5" spans="1:8">
      <c r="A5" s="3" t="s">
        <v>1577</v>
      </c>
      <c r="B5" s="4" t="str">
        <f>VLOOKUP(A5,Insumos,2)</f>
        <v>hierro mejorado de 10 mm.</v>
      </c>
      <c r="C5" s="6" t="str">
        <f>VLOOKUP(A5,Insumos,3)</f>
        <v>kg</v>
      </c>
      <c r="D5" s="51">
        <v>165</v>
      </c>
      <c r="E5" s="51">
        <f>VLOOKUP(A5,'IN-10-14'!A6:D880,4,FALSE)</f>
        <v>10.584654902836721</v>
      </c>
      <c r="F5" s="69">
        <f>(D5*E5)</f>
        <v>1746.468058968059</v>
      </c>
      <c r="H5" s="1" t="s">
        <v>1031</v>
      </c>
    </row>
    <row r="6" spans="1:8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315</v>
      </c>
      <c r="E6" s="51">
        <f>VLOOKUP(A6,'IN-10-14'!A7:D881,4,FALSE)</f>
        <v>1.7372000000000001</v>
      </c>
      <c r="F6" s="69">
        <f>(D6*E6)</f>
        <v>547.21800000000007</v>
      </c>
    </row>
    <row r="7" spans="1:8">
      <c r="A7" s="3" t="s">
        <v>145</v>
      </c>
      <c r="B7" s="4" t="str">
        <f>VLOOKUP(A7,Insumos,2)</f>
        <v>madera 1" pino nacional s/cepillar</v>
      </c>
      <c r="C7" s="6" t="str">
        <f>VLOOKUP(A7,Insumos,3)</f>
        <v>m2</v>
      </c>
      <c r="D7" s="51">
        <v>2.5910000000000002</v>
      </c>
      <c r="E7" s="51">
        <f>VLOOKUP(A7,'IN-10-14'!A8:D882,4,FALSE)</f>
        <v>95.177685950413235</v>
      </c>
      <c r="F7" s="69">
        <f>(D7*E7)</f>
        <v>246.60538429752071</v>
      </c>
    </row>
    <row r="8" spans="1:8">
      <c r="A8" s="3" t="s">
        <v>1579</v>
      </c>
      <c r="B8" s="4" t="str">
        <f>VLOOKUP(A8,Insumos,2)</f>
        <v>ripio zarandeado 1/3</v>
      </c>
      <c r="C8" s="6" t="str">
        <f>VLOOKUP(A8,Insumos,3)</f>
        <v>m3</v>
      </c>
      <c r="D8" s="51">
        <v>0.7</v>
      </c>
      <c r="E8" s="51">
        <f>VLOOKUP(A8,'IN-10-14'!A9:D883,4,FALSE)</f>
        <v>157.18044077134985</v>
      </c>
      <c r="F8" s="69">
        <f>(D8*E8)</f>
        <v>110.02630853994489</v>
      </c>
      <c r="H8" s="1" t="s">
        <v>1031</v>
      </c>
    </row>
    <row r="9" spans="1:8">
      <c r="A9" s="3" t="s">
        <v>1580</v>
      </c>
      <c r="B9" s="4" t="str">
        <f>VLOOKUP(A9,Insumos,2)</f>
        <v>arena gruesa</v>
      </c>
      <c r="C9" s="6" t="str">
        <f>VLOOKUP(A9,Insumos,3)</f>
        <v>m3</v>
      </c>
      <c r="D9" s="51">
        <v>0.6</v>
      </c>
      <c r="E9" s="51">
        <f>VLOOKUP(A9,'IN-10-14'!A10:D884,4,FALSE)</f>
        <v>184.46464646464645</v>
      </c>
      <c r="F9" s="69">
        <f>(D9*E9)</f>
        <v>110.67878787878787</v>
      </c>
      <c r="H9" s="1" t="s">
        <v>1031</v>
      </c>
    </row>
    <row r="10" spans="1:8">
      <c r="A10" s="82" t="s">
        <v>347</v>
      </c>
      <c r="D10" s="51"/>
      <c r="E10" s="51"/>
      <c r="F10" s="69"/>
    </row>
    <row r="11" spans="1:8">
      <c r="A11" s="3" t="s">
        <v>1575</v>
      </c>
      <c r="B11" s="4" t="str">
        <f>VLOOKUP(A11,Insumos,2)</f>
        <v>cuadrilla tipo UOCRA</v>
      </c>
      <c r="C11" s="6" t="str">
        <f>VLOOKUP(A11,Insumos,3)</f>
        <v>h</v>
      </c>
      <c r="D11" s="56">
        <v>38.5</v>
      </c>
      <c r="E11" s="51">
        <f>VLOOKUP(A11,'IN-10-14'!A12:D886,4,FALSE)</f>
        <v>64.12</v>
      </c>
      <c r="F11" s="69">
        <f>(D11*E11)</f>
        <v>2468.6200000000003</v>
      </c>
    </row>
    <row r="12" spans="1:8">
      <c r="A12" s="82" t="s">
        <v>348</v>
      </c>
      <c r="D12" s="51"/>
      <c r="E12" s="51"/>
      <c r="F12" s="69"/>
    </row>
    <row r="13" spans="1:8">
      <c r="A13" s="3" t="s">
        <v>1581</v>
      </c>
      <c r="B13" s="4" t="str">
        <f>VLOOKUP(A13,Insumos,2)</f>
        <v>canasta 2 (mixer 5m3)</v>
      </c>
      <c r="C13" s="6" t="str">
        <f>VLOOKUP(A13,Insumos,3)</f>
        <v>h</v>
      </c>
      <c r="D13" s="51">
        <v>0.05</v>
      </c>
      <c r="E13" s="51">
        <f>VLOOKUP(A13,'IN-10-14'!A14:D888,4,FALSE)</f>
        <v>827.71566885125844</v>
      </c>
      <c r="F13" s="69">
        <f>(D13*E13)</f>
        <v>41.385783442562925</v>
      </c>
      <c r="H13" s="1" t="s">
        <v>1031</v>
      </c>
    </row>
    <row r="14" spans="1:8">
      <c r="A14" s="3"/>
      <c r="B14" s="4"/>
      <c r="C14" s="6"/>
      <c r="D14" s="51"/>
      <c r="E14" s="51"/>
      <c r="F14" s="69"/>
    </row>
    <row r="15" spans="1:8" ht="13.5" thickBot="1">
      <c r="A15" s="3"/>
      <c r="B15" s="4"/>
      <c r="C15" s="6"/>
      <c r="D15" s="51"/>
      <c r="E15" s="51"/>
      <c r="F15" s="69"/>
    </row>
    <row r="16" spans="1:8" ht="13.5" thickTop="1">
      <c r="A16" s="75" t="s">
        <v>342</v>
      </c>
      <c r="B16" s="218" t="s">
        <v>1797</v>
      </c>
      <c r="C16" s="77" t="str">
        <f>Fecha</f>
        <v>Oct-14</v>
      </c>
      <c r="D16" s="48"/>
      <c r="E16" s="48"/>
      <c r="F16" s="219">
        <f>SUM(F18:F27)</f>
        <v>5021.4978446814875</v>
      </c>
      <c r="G16" s="41"/>
    </row>
    <row r="17" spans="1:7" ht="13.5" thickBot="1">
      <c r="A17" s="7" t="s">
        <v>341</v>
      </c>
      <c r="B17" s="7" t="s">
        <v>1624</v>
      </c>
      <c r="C17" s="78" t="s">
        <v>340</v>
      </c>
      <c r="D17" s="49" t="s">
        <v>1794</v>
      </c>
      <c r="E17" s="50"/>
      <c r="F17" s="68"/>
      <c r="G17" s="42" t="s">
        <v>1922</v>
      </c>
    </row>
    <row r="18" spans="1:7" ht="13.5" thickTop="1">
      <c r="A18" s="82" t="s">
        <v>346</v>
      </c>
      <c r="D18" s="51"/>
      <c r="E18" s="51"/>
      <c r="F18" s="69"/>
    </row>
    <row r="19" spans="1:7">
      <c r="A19" s="3" t="s">
        <v>1577</v>
      </c>
      <c r="B19" s="4" t="str">
        <f>VLOOKUP(A19,Insumos,2)</f>
        <v>hierro mejorado de 10 mm.</v>
      </c>
      <c r="C19" s="6" t="str">
        <f>VLOOKUP(A19,Insumos,3)</f>
        <v>kg</v>
      </c>
      <c r="D19" s="51">
        <v>149</v>
      </c>
      <c r="E19" s="51">
        <f>VLOOKUP(A19,'IN-10-14'!A7:D7,4,FALSE)</f>
        <v>10.584654902836721</v>
      </c>
      <c r="F19" s="69">
        <f>(D19*E19)</f>
        <v>1577.1135805226716</v>
      </c>
    </row>
    <row r="20" spans="1:7">
      <c r="A20" s="3" t="s">
        <v>1578</v>
      </c>
      <c r="B20" s="4" t="str">
        <f>VLOOKUP(A20,Insumos,2)</f>
        <v>cemento Portland</v>
      </c>
      <c r="C20" s="6" t="str">
        <f>VLOOKUP(A20,Insumos,3)</f>
        <v>kg</v>
      </c>
      <c r="D20" s="51">
        <v>315</v>
      </c>
      <c r="E20" s="51">
        <f>VLOOKUP(A20,'IN-10-14'!A21:D895,4,FALSE)</f>
        <v>1.7372000000000001</v>
      </c>
      <c r="F20" s="69">
        <f>(D20*E20)</f>
        <v>547.21800000000007</v>
      </c>
    </row>
    <row r="21" spans="1:7">
      <c r="A21" s="3" t="s">
        <v>145</v>
      </c>
      <c r="B21" s="4" t="str">
        <f>VLOOKUP(A21,Insumos,2)</f>
        <v>madera 1" pino nacional s/cepillar</v>
      </c>
      <c r="C21" s="6" t="str">
        <f>VLOOKUP(A21,Insumos,3)</f>
        <v>m2</v>
      </c>
      <c r="D21" s="51">
        <v>2.5910000000000002</v>
      </c>
      <c r="E21" s="51">
        <f>VLOOKUP(A21,'IN-10-14'!A22:D896,4,FALSE)</f>
        <v>95.177685950413235</v>
      </c>
      <c r="F21" s="69">
        <f>(D21*E21)</f>
        <v>246.60538429752071</v>
      </c>
    </row>
    <row r="22" spans="1:7">
      <c r="A22" s="3" t="s">
        <v>1579</v>
      </c>
      <c r="B22" s="4" t="str">
        <f>VLOOKUP(A22,Insumos,2)</f>
        <v>ripio zarandeado 1/3</v>
      </c>
      <c r="C22" s="6" t="str">
        <f>VLOOKUP(A22,Insumos,3)</f>
        <v>m3</v>
      </c>
      <c r="D22" s="51">
        <v>0.7</v>
      </c>
      <c r="E22" s="51">
        <f>VLOOKUP(A22,'IN-10-14'!A23:D897,4,FALSE)</f>
        <v>157.18044077134985</v>
      </c>
      <c r="F22" s="69">
        <f>(D22*E22)</f>
        <v>110.02630853994489</v>
      </c>
    </row>
    <row r="23" spans="1:7">
      <c r="A23" s="3" t="s">
        <v>1580</v>
      </c>
      <c r="B23" s="4" t="str">
        <f>VLOOKUP(A23,Insumos,2)</f>
        <v>arena gruesa</v>
      </c>
      <c r="C23" s="6" t="str">
        <f>VLOOKUP(A23,Insumos,3)</f>
        <v>m3</v>
      </c>
      <c r="D23" s="51">
        <v>0.6</v>
      </c>
      <c r="E23" s="51">
        <f>VLOOKUP(A23,'IN-10-14'!A24:D898,4,FALSE)</f>
        <v>184.46464646464645</v>
      </c>
      <c r="F23" s="69">
        <f>(D23*E23)</f>
        <v>110.67878787878787</v>
      </c>
    </row>
    <row r="24" spans="1:7">
      <c r="A24" s="82" t="s">
        <v>347</v>
      </c>
      <c r="D24" s="51"/>
      <c r="E24" s="51"/>
      <c r="F24" s="69"/>
    </row>
    <row r="25" spans="1:7">
      <c r="A25" s="3" t="s">
        <v>1575</v>
      </c>
      <c r="B25" s="4" t="str">
        <f>VLOOKUP(A25,Insumos,2)</f>
        <v>cuadrilla tipo UOCRA</v>
      </c>
      <c r="C25" s="6" t="str">
        <f>VLOOKUP(A25,Insumos,3)</f>
        <v>h</v>
      </c>
      <c r="D25" s="64">
        <v>37.25</v>
      </c>
      <c r="E25" s="51">
        <f>VLOOKUP(A25,'IN-10-14'!A26:D900,4,FALSE)</f>
        <v>64.12</v>
      </c>
      <c r="F25" s="69">
        <f>(D25*E25)</f>
        <v>2388.4700000000003</v>
      </c>
    </row>
    <row r="26" spans="1:7">
      <c r="A26" s="82" t="s">
        <v>348</v>
      </c>
      <c r="D26" s="51"/>
      <c r="E26" s="51"/>
      <c r="F26" s="69"/>
    </row>
    <row r="27" spans="1:7">
      <c r="A27" s="3" t="s">
        <v>1581</v>
      </c>
      <c r="B27" s="4" t="str">
        <f>VLOOKUP(A27,Insumos,2)</f>
        <v>canasta 2 (mixer 5m3)</v>
      </c>
      <c r="C27" s="6" t="str">
        <f>VLOOKUP(A27,Insumos,3)</f>
        <v>h</v>
      </c>
      <c r="D27" s="51">
        <v>0.05</v>
      </c>
      <c r="E27" s="51">
        <f>VLOOKUP(A27,'IN-10-14'!A28:D902,4,FALSE)</f>
        <v>827.71566885125844</v>
      </c>
      <c r="F27" s="69">
        <f>(D27*E27)</f>
        <v>41.385783442562925</v>
      </c>
    </row>
    <row r="28" spans="1:7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342</v>
      </c>
      <c r="B29" s="218" t="s">
        <v>15</v>
      </c>
      <c r="C29" s="77" t="str">
        <f>Fecha</f>
        <v>Oct-14</v>
      </c>
      <c r="D29" s="48"/>
      <c r="E29" s="48"/>
      <c r="F29" s="219">
        <f>SUM(F31:F40)</f>
        <v>4793.5443931514446</v>
      </c>
      <c r="G29" s="41"/>
    </row>
    <row r="30" spans="1:7" ht="13.5" thickBot="1">
      <c r="A30" s="7" t="s">
        <v>341</v>
      </c>
      <c r="B30" s="7" t="s">
        <v>1624</v>
      </c>
      <c r="C30" s="78" t="s">
        <v>340</v>
      </c>
      <c r="D30" s="49" t="s">
        <v>1793</v>
      </c>
      <c r="E30" s="50"/>
      <c r="F30" s="68"/>
      <c r="G30" s="42" t="s">
        <v>1922</v>
      </c>
    </row>
    <row r="31" spans="1:7" ht="13.5" thickTop="1">
      <c r="A31" s="82" t="s">
        <v>346</v>
      </c>
      <c r="D31" s="51"/>
      <c r="E31" s="51"/>
      <c r="F31" s="69"/>
    </row>
    <row r="32" spans="1:7">
      <c r="A32" s="3" t="s">
        <v>1577</v>
      </c>
      <c r="B32" s="4" t="str">
        <f>VLOOKUP(A32,Insumos,2)</f>
        <v>hierro mejorado de 10 mm.</v>
      </c>
      <c r="C32" s="6" t="str">
        <f>VLOOKUP(A32,Insumos,3)</f>
        <v>kg</v>
      </c>
      <c r="D32" s="51">
        <v>132</v>
      </c>
      <c r="E32" s="51">
        <f>VLOOKUP(A32,'IN-10-14'!A7:D7,4,FALSE)</f>
        <v>10.584654902836721</v>
      </c>
      <c r="F32" s="69">
        <f>(D32*E32)</f>
        <v>1397.1744471744473</v>
      </c>
    </row>
    <row r="33" spans="1:7">
      <c r="A33" s="3" t="s">
        <v>1578</v>
      </c>
      <c r="B33" s="4" t="str">
        <f>VLOOKUP(A33,Insumos,2)</f>
        <v>cemento Portland</v>
      </c>
      <c r="C33" s="6" t="str">
        <f>VLOOKUP(A33,Insumos,3)</f>
        <v>kg</v>
      </c>
      <c r="D33" s="51">
        <v>310</v>
      </c>
      <c r="E33" s="51">
        <f>VLOOKUP(A33,'IN-10-14'!A34:D908,4,FALSE)</f>
        <v>1.7372000000000001</v>
      </c>
      <c r="F33" s="69">
        <f>(D33*E33)</f>
        <v>538.53200000000004</v>
      </c>
    </row>
    <row r="34" spans="1:7">
      <c r="A34" s="3" t="s">
        <v>145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1.9419999999999999</v>
      </c>
      <c r="E34" s="51">
        <f>VLOOKUP(A34,'IN-10-14'!A35:D909,4,FALSE)</f>
        <v>95.177685950413235</v>
      </c>
      <c r="F34" s="69">
        <f>(D34*E34)</f>
        <v>184.83506611570249</v>
      </c>
    </row>
    <row r="35" spans="1:7">
      <c r="A35" s="3" t="s">
        <v>1579</v>
      </c>
      <c r="B35" s="4" t="str">
        <f>VLOOKUP(A35,Insumos,2)</f>
        <v>ripio zarandeado 1/3</v>
      </c>
      <c r="C35" s="6" t="str">
        <f>VLOOKUP(A35,Insumos,3)</f>
        <v>m3</v>
      </c>
      <c r="D35" s="51">
        <v>0.7</v>
      </c>
      <c r="E35" s="51">
        <f>VLOOKUP(A35,'IN-10-14'!A36:D910,4,FALSE)</f>
        <v>157.18044077134985</v>
      </c>
      <c r="F35" s="69">
        <f>(D35*E35)</f>
        <v>110.02630853994489</v>
      </c>
    </row>
    <row r="36" spans="1:7">
      <c r="A36" s="3" t="s">
        <v>1580</v>
      </c>
      <c r="B36" s="4" t="str">
        <f>VLOOKUP(A36,Insumos,2)</f>
        <v>arena gruesa</v>
      </c>
      <c r="C36" s="6" t="str">
        <f>VLOOKUP(A36,Insumos,3)</f>
        <v>m3</v>
      </c>
      <c r="D36" s="51">
        <v>0.6</v>
      </c>
      <c r="E36" s="51">
        <f>VLOOKUP(A36,'IN-10-14'!A37:D911,4,FALSE)</f>
        <v>184.46464646464645</v>
      </c>
      <c r="F36" s="69">
        <f>(D36*E36)</f>
        <v>110.67878787878787</v>
      </c>
    </row>
    <row r="37" spans="1:7">
      <c r="A37" s="82" t="s">
        <v>347</v>
      </c>
      <c r="D37" s="51"/>
      <c r="E37" s="51"/>
      <c r="F37" s="69"/>
    </row>
    <row r="38" spans="1:7">
      <c r="A38" s="3" t="s">
        <v>1575</v>
      </c>
      <c r="B38" s="4" t="str">
        <f>VLOOKUP(A38,Insumos,2)</f>
        <v>cuadrilla tipo UOCRA</v>
      </c>
      <c r="C38" s="6" t="str">
        <f>VLOOKUP(A38,Insumos,3)</f>
        <v>h</v>
      </c>
      <c r="D38" s="51">
        <v>37.6</v>
      </c>
      <c r="E38" s="51">
        <f>VLOOKUP(A38,'IN-10-14'!A39:D913,4,FALSE)</f>
        <v>64.12</v>
      </c>
      <c r="F38" s="69">
        <f>(D38*E38)</f>
        <v>2410.9120000000003</v>
      </c>
    </row>
    <row r="39" spans="1:7">
      <c r="A39" s="82" t="s">
        <v>348</v>
      </c>
      <c r="D39" s="51"/>
      <c r="E39" s="51"/>
      <c r="F39" s="69"/>
    </row>
    <row r="40" spans="1:7">
      <c r="A40" s="3" t="s">
        <v>1581</v>
      </c>
      <c r="B40" s="4" t="str">
        <f>VLOOKUP(A40,Insumos,2)</f>
        <v>canasta 2 (mixer 5m3)</v>
      </c>
      <c r="C40" s="6" t="str">
        <f>VLOOKUP(A40,Insumos,3)</f>
        <v>h</v>
      </c>
      <c r="D40" s="51">
        <v>0.05</v>
      </c>
      <c r="E40" s="51">
        <f>VLOOKUP(A40,'IN-10-14'!A41:D915,4,FALSE)</f>
        <v>827.71566885125844</v>
      </c>
      <c r="F40" s="69">
        <f>(D40*E40)</f>
        <v>41.385783442562925</v>
      </c>
    </row>
    <row r="41" spans="1:7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342</v>
      </c>
      <c r="B42" s="218" t="s">
        <v>15</v>
      </c>
      <c r="C42" s="77" t="str">
        <f>Fecha</f>
        <v>Oct-14</v>
      </c>
      <c r="D42" s="48"/>
      <c r="E42" s="48"/>
      <c r="F42" s="219">
        <f>SUM(F44:F53)</f>
        <v>5184.7156946926552</v>
      </c>
      <c r="G42" s="41"/>
    </row>
    <row r="43" spans="1:7" ht="13.5" thickBot="1">
      <c r="A43" s="7" t="s">
        <v>341</v>
      </c>
      <c r="B43" s="7" t="s">
        <v>1624</v>
      </c>
      <c r="C43" s="78" t="s">
        <v>340</v>
      </c>
      <c r="D43" s="49" t="s">
        <v>1799</v>
      </c>
      <c r="E43" s="50"/>
      <c r="F43" s="68"/>
      <c r="G43" s="42" t="s">
        <v>1922</v>
      </c>
    </row>
    <row r="44" spans="1:7" ht="13.5" thickTop="1">
      <c r="A44" s="82" t="s">
        <v>346</v>
      </c>
      <c r="D44" s="51"/>
      <c r="E44" s="51"/>
      <c r="F44" s="69"/>
    </row>
    <row r="45" spans="1:7">
      <c r="A45" s="3" t="s">
        <v>1577</v>
      </c>
      <c r="B45" s="4" t="str">
        <f>VLOOKUP(A45,Insumos,2)</f>
        <v>hierro mejorado de 10 mm.</v>
      </c>
      <c r="C45" s="6" t="str">
        <f>VLOOKUP(A45,Insumos,3)</f>
        <v>kg</v>
      </c>
      <c r="D45" s="51">
        <v>134</v>
      </c>
      <c r="E45" s="51">
        <f>VLOOKUP(A45,'IN-10-14'!A7:D7,4,FALSE)</f>
        <v>10.584654902836721</v>
      </c>
      <c r="F45" s="69">
        <f>(D45*E45)</f>
        <v>1418.3437569801206</v>
      </c>
    </row>
    <row r="46" spans="1:7">
      <c r="A46" s="3" t="s">
        <v>1578</v>
      </c>
      <c r="B46" s="4" t="str">
        <f>VLOOKUP(A46,Insumos,2)</f>
        <v>cemento Portland</v>
      </c>
      <c r="C46" s="6" t="str">
        <f>VLOOKUP(A46,Insumos,3)</f>
        <v>kg</v>
      </c>
      <c r="D46" s="51">
        <v>310</v>
      </c>
      <c r="E46" s="51">
        <f>VLOOKUP(A46,'IN-10-14'!A47:D921,4,FALSE)</f>
        <v>1.7372000000000001</v>
      </c>
      <c r="F46" s="69">
        <f>(D46*E46)</f>
        <v>538.53200000000004</v>
      </c>
    </row>
    <row r="47" spans="1:7">
      <c r="A47" s="3" t="s">
        <v>145</v>
      </c>
      <c r="B47" s="4" t="str">
        <f>VLOOKUP(A47,Insumos,2)</f>
        <v>madera 1" pino nacional s/cepillar</v>
      </c>
      <c r="C47" s="6" t="str">
        <f>VLOOKUP(A47,Insumos,3)</f>
        <v>m2</v>
      </c>
      <c r="D47" s="51">
        <v>3</v>
      </c>
      <c r="E47" s="51">
        <f>VLOOKUP(A47,'IN-10-14'!A48:D922,4,FALSE)</f>
        <v>95.177685950413235</v>
      </c>
      <c r="F47" s="69">
        <f>(D47*E47)</f>
        <v>285.53305785123973</v>
      </c>
    </row>
    <row r="48" spans="1:7">
      <c r="A48" s="3" t="s">
        <v>1579</v>
      </c>
      <c r="B48" s="4" t="str">
        <f>VLOOKUP(A48,Insumos,2)</f>
        <v>ripio zarandeado 1/3</v>
      </c>
      <c r="C48" s="6" t="str">
        <f>VLOOKUP(A48,Insumos,3)</f>
        <v>m3</v>
      </c>
      <c r="D48" s="51">
        <v>0.7</v>
      </c>
      <c r="E48" s="51">
        <f>VLOOKUP(A48,'IN-10-14'!A44:D44,4,FALSE)</f>
        <v>157.18044077134985</v>
      </c>
      <c r="F48" s="69">
        <f>(D48*E48)</f>
        <v>110.02630853994489</v>
      </c>
    </row>
    <row r="49" spans="1:7">
      <c r="A49" s="3" t="s">
        <v>1580</v>
      </c>
      <c r="B49" s="4" t="str">
        <f>VLOOKUP(A49,Insumos,2)</f>
        <v>arena gruesa</v>
      </c>
      <c r="C49" s="6" t="str">
        <f>VLOOKUP(A49,Insumos,3)</f>
        <v>m3</v>
      </c>
      <c r="D49" s="51">
        <v>0.6</v>
      </c>
      <c r="E49" s="51">
        <f>VLOOKUP(A49,'IN-10-14'!A42:D42,4,FALSE)</f>
        <v>184.46464646464645</v>
      </c>
      <c r="F49" s="69">
        <f>(D49*E49)</f>
        <v>110.67878787878787</v>
      </c>
    </row>
    <row r="50" spans="1:7">
      <c r="A50" s="82" t="s">
        <v>347</v>
      </c>
      <c r="D50" s="51"/>
      <c r="E50" s="51"/>
      <c r="F50" s="69"/>
    </row>
    <row r="51" spans="1:7">
      <c r="A51" s="3" t="s">
        <v>1575</v>
      </c>
      <c r="B51" s="4" t="str">
        <f>VLOOKUP(A51,Insumos,2)</f>
        <v>cuadrilla tipo UOCRA</v>
      </c>
      <c r="C51" s="6" t="str">
        <f>VLOOKUP(A51,Insumos,3)</f>
        <v>h</v>
      </c>
      <c r="D51" s="64">
        <v>41.8</v>
      </c>
      <c r="E51" s="51">
        <f>VLOOKUP(A51,'IN-10-14'!A52:D926,4,FALSE)</f>
        <v>64.12</v>
      </c>
      <c r="F51" s="69">
        <f>(D51*E51)</f>
        <v>2680.2159999999999</v>
      </c>
    </row>
    <row r="52" spans="1:7">
      <c r="A52" s="82" t="s">
        <v>348</v>
      </c>
      <c r="D52" s="51"/>
      <c r="E52" s="51"/>
      <c r="F52" s="69"/>
    </row>
    <row r="53" spans="1:7">
      <c r="A53" s="3" t="s">
        <v>1581</v>
      </c>
      <c r="B53" s="4" t="str">
        <f>VLOOKUP(A53,Insumos,2)</f>
        <v>canasta 2 (mixer 5m3)</v>
      </c>
      <c r="C53" s="6" t="str">
        <f>VLOOKUP(A53,Insumos,3)</f>
        <v>h</v>
      </c>
      <c r="D53" s="51">
        <v>0.05</v>
      </c>
      <c r="E53" s="51">
        <f>VLOOKUP(A53,'IN-10-14'!A54:D928,4,FALSE)</f>
        <v>827.71566885125844</v>
      </c>
      <c r="F53" s="69">
        <f>(D53*E53)</f>
        <v>41.385783442562925</v>
      </c>
    </row>
    <row r="54" spans="1:7" ht="13.5" thickBot="1">
      <c r="A54" s="3"/>
      <c r="B54" s="4"/>
      <c r="C54" s="6"/>
      <c r="D54" s="51"/>
      <c r="E54" s="51"/>
      <c r="F54" s="69"/>
    </row>
    <row r="55" spans="1:7" ht="13.5" thickTop="1">
      <c r="A55" s="75" t="s">
        <v>342</v>
      </c>
      <c r="B55" s="218" t="s">
        <v>15</v>
      </c>
      <c r="C55" s="77" t="str">
        <f>Fecha</f>
        <v>Oct-14</v>
      </c>
      <c r="D55" s="48"/>
      <c r="E55" s="48"/>
      <c r="F55" s="219">
        <f>SUM(F57:F66)</f>
        <v>3896.8679771362572</v>
      </c>
      <c r="G55" s="41"/>
    </row>
    <row r="56" spans="1:7" ht="13.5" thickBot="1">
      <c r="A56" s="7" t="s">
        <v>341</v>
      </c>
      <c r="B56" s="7" t="s">
        <v>1624</v>
      </c>
      <c r="C56" s="78" t="s">
        <v>340</v>
      </c>
      <c r="D56" s="49" t="s">
        <v>1802</v>
      </c>
      <c r="E56" s="50"/>
      <c r="F56" s="68"/>
      <c r="G56" s="42" t="s">
        <v>1922</v>
      </c>
    </row>
    <row r="57" spans="1:7" ht="13.5" thickTop="1">
      <c r="A57" s="82" t="s">
        <v>346</v>
      </c>
      <c r="D57" s="51"/>
      <c r="E57" s="51"/>
      <c r="F57" s="69"/>
    </row>
    <row r="58" spans="1:7">
      <c r="A58" s="3" t="s">
        <v>1577</v>
      </c>
      <c r="B58" s="4" t="str">
        <f>VLOOKUP(A58,Insumos,2)</f>
        <v>hierro mejorado de 10 mm.</v>
      </c>
      <c r="C58" s="6" t="str">
        <f>VLOOKUP(A58,Insumos,3)</f>
        <v>kg</v>
      </c>
      <c r="D58" s="51">
        <v>78.733000000000004</v>
      </c>
      <c r="E58" s="51">
        <f>VLOOKUP(A58,'IN-10-14'!A7:D7,4,FALSE)</f>
        <v>10.584654902836721</v>
      </c>
      <c r="F58" s="69">
        <f>(D58*E58)</f>
        <v>833.36163446504361</v>
      </c>
    </row>
    <row r="59" spans="1:7">
      <c r="A59" s="3" t="s">
        <v>1578</v>
      </c>
      <c r="B59" s="4" t="str">
        <f>VLOOKUP(A59,Insumos,2)</f>
        <v>cemento Portland</v>
      </c>
      <c r="C59" s="6" t="str">
        <f>VLOOKUP(A59,Insumos,3)</f>
        <v>kg</v>
      </c>
      <c r="D59" s="51">
        <v>310</v>
      </c>
      <c r="E59" s="51">
        <f>VLOOKUP(A59,'IN-10-14'!A60:D934,4,FALSE)</f>
        <v>1.7372000000000001</v>
      </c>
      <c r="F59" s="69">
        <f>(D59*E59)</f>
        <v>538.53200000000004</v>
      </c>
    </row>
    <row r="60" spans="1:7">
      <c r="A60" s="3" t="s">
        <v>145</v>
      </c>
      <c r="B60" s="4" t="str">
        <f>VLOOKUP(A60,Insumos,2)</f>
        <v>madera 1" pino nacional s/cepillar</v>
      </c>
      <c r="C60" s="6" t="str">
        <f>VLOOKUP(A60,Insumos,3)</f>
        <v>m2</v>
      </c>
      <c r="D60" s="51">
        <v>3.43</v>
      </c>
      <c r="E60" s="51">
        <f>VLOOKUP(A60,'IN-10-14'!A61:D935,4,FALSE)</f>
        <v>95.177685950413235</v>
      </c>
      <c r="F60" s="69">
        <f>(D60*E60)</f>
        <v>326.4594628099174</v>
      </c>
    </row>
    <row r="61" spans="1:7">
      <c r="A61" s="3" t="s">
        <v>1579</v>
      </c>
      <c r="B61" s="4" t="str">
        <f>VLOOKUP(A61,Insumos,2)</f>
        <v>ripio zarandeado 1/3</v>
      </c>
      <c r="C61" s="6" t="str">
        <f>VLOOKUP(A61,Insumos,3)</f>
        <v>m3</v>
      </c>
      <c r="D61" s="51">
        <v>0.7</v>
      </c>
      <c r="E61" s="51">
        <f>VLOOKUP(A61,'IN-10-14'!A44:D44,4,FALSE)</f>
        <v>157.18044077134985</v>
      </c>
      <c r="F61" s="69">
        <f>(D61*E61)</f>
        <v>110.02630853994489</v>
      </c>
    </row>
    <row r="62" spans="1:7">
      <c r="A62" s="3" t="s">
        <v>1580</v>
      </c>
      <c r="B62" s="4" t="str">
        <f>VLOOKUP(A62,Insumos,2)</f>
        <v>arena gruesa</v>
      </c>
      <c r="C62" s="6" t="str">
        <f>VLOOKUP(A62,Insumos,3)</f>
        <v>m3</v>
      </c>
      <c r="D62" s="51">
        <v>0.6</v>
      </c>
      <c r="E62" s="51">
        <f>VLOOKUP(A62,'IN-10-14'!A42:D42,4,FALSE)</f>
        <v>184.46464646464645</v>
      </c>
      <c r="F62" s="69">
        <f>(D62*E62)</f>
        <v>110.67878787878787</v>
      </c>
    </row>
    <row r="63" spans="1:7">
      <c r="A63" s="82" t="s">
        <v>347</v>
      </c>
      <c r="D63" s="51"/>
      <c r="E63" s="51"/>
      <c r="F63" s="69"/>
    </row>
    <row r="64" spans="1:7">
      <c r="A64" s="3" t="s">
        <v>1575</v>
      </c>
      <c r="B64" s="4" t="str">
        <f>VLOOKUP(A64,Insumos,2)</f>
        <v>cuadrilla tipo UOCRA</v>
      </c>
      <c r="C64" s="6" t="str">
        <f>VLOOKUP(A64,Insumos,3)</f>
        <v>h</v>
      </c>
      <c r="D64" s="64">
        <v>30.2</v>
      </c>
      <c r="E64" s="51">
        <f>VLOOKUP(A64,'IN-10-14'!A65:D939,4,FALSE)</f>
        <v>64.12</v>
      </c>
      <c r="F64" s="69">
        <f>(D64*E64)</f>
        <v>1936.424</v>
      </c>
    </row>
    <row r="65" spans="1:7">
      <c r="A65" s="82" t="s">
        <v>348</v>
      </c>
      <c r="D65" s="51"/>
      <c r="E65" s="51"/>
      <c r="F65" s="69"/>
    </row>
    <row r="66" spans="1:7">
      <c r="A66" s="3" t="s">
        <v>1581</v>
      </c>
      <c r="B66" s="4" t="str">
        <f>VLOOKUP(A66,Insumos,2)</f>
        <v>canasta 2 (mixer 5m3)</v>
      </c>
      <c r="C66" s="6" t="str">
        <f>VLOOKUP(A66,Insumos,3)</f>
        <v>h</v>
      </c>
      <c r="D66" s="51">
        <v>0.05</v>
      </c>
      <c r="E66" s="51">
        <f>VLOOKUP(A66,'IN-10-14'!A67:D941,4,FALSE)</f>
        <v>827.71566885125844</v>
      </c>
      <c r="F66" s="69">
        <f>(D66*E66)</f>
        <v>41.385783442562925</v>
      </c>
    </row>
    <row r="67" spans="1:7" ht="13.5" thickBot="1">
      <c r="A67" s="3"/>
      <c r="B67" s="4"/>
      <c r="C67" s="6"/>
      <c r="D67" s="51"/>
      <c r="E67" s="51"/>
      <c r="F67" s="69"/>
    </row>
    <row r="68" spans="1:7" ht="13.5" thickTop="1">
      <c r="A68" s="75" t="s">
        <v>342</v>
      </c>
      <c r="B68" s="218" t="s">
        <v>15</v>
      </c>
      <c r="C68" s="77" t="str">
        <f>Fecha</f>
        <v>Oct-14</v>
      </c>
      <c r="D68" s="48"/>
      <c r="E68" s="48"/>
      <c r="F68" s="219">
        <f>SUM(F70:F79)</f>
        <v>586.81832942754818</v>
      </c>
      <c r="G68" s="41"/>
    </row>
    <row r="69" spans="1:7" ht="13.5" thickBot="1">
      <c r="A69" s="7" t="s">
        <v>341</v>
      </c>
      <c r="B69" s="7" t="s">
        <v>1624</v>
      </c>
      <c r="C69" s="78" t="s">
        <v>340</v>
      </c>
      <c r="D69" s="49" t="s">
        <v>1804</v>
      </c>
      <c r="E69" s="50"/>
      <c r="F69" s="68"/>
      <c r="G69" s="42" t="s">
        <v>1876</v>
      </c>
    </row>
    <row r="70" spans="1:7" ht="13.5" thickTop="1">
      <c r="A70" s="82" t="s">
        <v>346</v>
      </c>
      <c r="D70" s="51"/>
      <c r="E70" s="51"/>
      <c r="F70" s="69"/>
    </row>
    <row r="71" spans="1:7">
      <c r="A71" s="2" t="s">
        <v>1582</v>
      </c>
      <c r="B71" s="4" t="str">
        <f t="shared" ref="B71:B77" si="0">VLOOKUP(A71,Insumos,2)</f>
        <v>malla Sima R92</v>
      </c>
      <c r="C71" s="6" t="str">
        <f t="shared" ref="C71:C77" si="1">VLOOKUP(A71,Insumos,3)</f>
        <v>kg</v>
      </c>
      <c r="D71" s="51">
        <v>1.28</v>
      </c>
      <c r="E71" s="51">
        <f>VLOOKUP(A71,'IN-10-14'!A9:D9,4,FALSE)</f>
        <v>18.036000000000001</v>
      </c>
      <c r="F71" s="69">
        <f t="shared" ref="F71:F77" si="2">(D71*E71)</f>
        <v>23.086080000000003</v>
      </c>
    </row>
    <row r="72" spans="1:7">
      <c r="A72" s="2" t="s">
        <v>1597</v>
      </c>
      <c r="B72" s="4" t="str">
        <f t="shared" si="0"/>
        <v>bovedilla cerámica para viguetas 12,5x40x25</v>
      </c>
      <c r="C72" s="6" t="str">
        <f t="shared" si="1"/>
        <v>u</v>
      </c>
      <c r="D72" s="51">
        <v>8</v>
      </c>
      <c r="E72" s="51">
        <f>VLOOKUP(A72,'IN-10-14'!A73:D947,4,FALSE)</f>
        <v>8.59</v>
      </c>
      <c r="F72" s="69">
        <f t="shared" si="2"/>
        <v>68.72</v>
      </c>
    </row>
    <row r="73" spans="1:7">
      <c r="A73" s="2" t="s">
        <v>1598</v>
      </c>
      <c r="B73" s="4" t="str">
        <f t="shared" si="0"/>
        <v>viguetas pretensadas 3.90 m.</v>
      </c>
      <c r="C73" s="6" t="str">
        <f t="shared" si="1"/>
        <v>m</v>
      </c>
      <c r="D73" s="51">
        <v>2.1</v>
      </c>
      <c r="E73" s="51">
        <f>VLOOKUP(A73,'IN-10-14'!A55:D55,4,FALSE)</f>
        <v>37.495913999999999</v>
      </c>
      <c r="F73" s="69">
        <f t="shared" si="2"/>
        <v>78.741419399999998</v>
      </c>
    </row>
    <row r="74" spans="1:7">
      <c r="A74" s="3" t="s">
        <v>1578</v>
      </c>
      <c r="B74" s="4" t="str">
        <f t="shared" si="0"/>
        <v>cemento Portland</v>
      </c>
      <c r="C74" s="6" t="str">
        <f t="shared" si="1"/>
        <v>kg</v>
      </c>
      <c r="D74" s="51">
        <v>20</v>
      </c>
      <c r="E74" s="51">
        <f>VLOOKUP(A74,'IN-10-14'!A75:D949,4,FALSE)</f>
        <v>1.7372000000000001</v>
      </c>
      <c r="F74" s="69">
        <f t="shared" si="2"/>
        <v>34.744</v>
      </c>
    </row>
    <row r="75" spans="1:7">
      <c r="A75" s="3" t="s">
        <v>145</v>
      </c>
      <c r="B75" s="4" t="str">
        <f t="shared" si="0"/>
        <v>madera 1" pino nacional s/cepillar</v>
      </c>
      <c r="C75" s="6" t="str">
        <f t="shared" si="1"/>
        <v>m2</v>
      </c>
      <c r="D75" s="51">
        <v>0.872</v>
      </c>
      <c r="E75" s="51">
        <f>VLOOKUP(A75,'IN-10-14'!A76:D950,4,FALSE)</f>
        <v>95.177685950413235</v>
      </c>
      <c r="F75" s="69">
        <f t="shared" si="2"/>
        <v>82.994942148760344</v>
      </c>
    </row>
    <row r="76" spans="1:7">
      <c r="A76" s="3" t="s">
        <v>1579</v>
      </c>
      <c r="B76" s="4" t="str">
        <f t="shared" si="0"/>
        <v>ripio zarandeado 1/3</v>
      </c>
      <c r="C76" s="6" t="str">
        <f t="shared" si="1"/>
        <v>m3</v>
      </c>
      <c r="D76" s="51">
        <v>3.3000000000000002E-2</v>
      </c>
      <c r="E76" s="51">
        <f>VLOOKUP(A76,'IN-10-14'!A44:D44,4,FALSE)</f>
        <v>157.18044077134985</v>
      </c>
      <c r="F76" s="69">
        <f t="shared" si="2"/>
        <v>5.1869545454545456</v>
      </c>
    </row>
    <row r="77" spans="1:7">
      <c r="A77" s="3" t="s">
        <v>1580</v>
      </c>
      <c r="B77" s="4" t="str">
        <f t="shared" si="0"/>
        <v>arena gruesa</v>
      </c>
      <c r="C77" s="6" t="str">
        <f t="shared" si="1"/>
        <v>m3</v>
      </c>
      <c r="D77" s="51">
        <v>3.3000000000000002E-2</v>
      </c>
      <c r="E77" s="51">
        <f>VLOOKUP(A77,'IN-10-14'!A42:D42,4,FALSE)</f>
        <v>184.46464646464645</v>
      </c>
      <c r="F77" s="69">
        <f t="shared" si="2"/>
        <v>6.0873333333333335</v>
      </c>
    </row>
    <row r="78" spans="1:7">
      <c r="A78" s="82" t="s">
        <v>347</v>
      </c>
      <c r="D78" s="51"/>
      <c r="E78" s="51"/>
      <c r="F78" s="69"/>
    </row>
    <row r="79" spans="1:7">
      <c r="A79" s="3" t="s">
        <v>1575</v>
      </c>
      <c r="B79" s="4" t="str">
        <f>VLOOKUP(A79,Insumos,2)</f>
        <v>cuadrilla tipo UOCRA</v>
      </c>
      <c r="C79" s="6" t="str">
        <f>VLOOKUP(A79,Insumos,3)</f>
        <v>h</v>
      </c>
      <c r="D79" s="64">
        <v>4.4800000000000004</v>
      </c>
      <c r="E79" s="51">
        <f>VLOOKUP(A79,'IN-10-14'!A80:D954,4,FALSE)</f>
        <v>64.12</v>
      </c>
      <c r="F79" s="69">
        <f>(D79*E79)</f>
        <v>287.25760000000002</v>
      </c>
    </row>
    <row r="80" spans="1:7">
      <c r="A80" s="82" t="s">
        <v>348</v>
      </c>
      <c r="D80" s="51"/>
      <c r="E80" s="51"/>
      <c r="F80" s="69"/>
    </row>
    <row r="81" spans="1:7">
      <c r="A81" s="3" t="s">
        <v>1581</v>
      </c>
      <c r="B81" s="4" t="str">
        <f>VLOOKUP(A81,Insumos,2)</f>
        <v>canasta 2 (mixer 5m3)</v>
      </c>
      <c r="C81" s="6" t="str">
        <f>VLOOKUP(A81,Insumos,3)</f>
        <v>h</v>
      </c>
      <c r="D81" s="51">
        <v>5.0000000000000001E-3</v>
      </c>
      <c r="E81" s="51">
        <f>VLOOKUP(A81,'IN-10-14'!A82:D956,4,FALSE)</f>
        <v>827.71566885125844</v>
      </c>
      <c r="F81" s="69">
        <f>(D81*E81)</f>
        <v>4.1385783442562927</v>
      </c>
    </row>
    <row r="82" spans="1:7" ht="13.5" thickBot="1">
      <c r="D82" s="51"/>
      <c r="E82" s="51"/>
      <c r="F82" s="69"/>
    </row>
    <row r="83" spans="1:7" ht="13.5" thickTop="1">
      <c r="A83" s="75" t="s">
        <v>342</v>
      </c>
      <c r="B83" s="218" t="s">
        <v>15</v>
      </c>
      <c r="C83" s="77" t="str">
        <f>Fecha</f>
        <v>Oct-14</v>
      </c>
      <c r="D83" s="48"/>
      <c r="E83" s="48"/>
      <c r="F83" s="219">
        <f>SUM(F85:F95)</f>
        <v>3880.7469182729001</v>
      </c>
      <c r="G83" s="41"/>
    </row>
    <row r="84" spans="1:7" ht="13.5" thickBot="1">
      <c r="A84" s="7" t="s">
        <v>341</v>
      </c>
      <c r="B84" s="7" t="s">
        <v>1624</v>
      </c>
      <c r="C84" s="78" t="s">
        <v>340</v>
      </c>
      <c r="D84" s="49" t="s">
        <v>1830</v>
      </c>
      <c r="E84" s="50"/>
      <c r="F84" s="68"/>
      <c r="G84" s="42" t="s">
        <v>1922</v>
      </c>
    </row>
    <row r="85" spans="1:7" ht="13.5" thickTop="1">
      <c r="A85" s="82" t="s">
        <v>346</v>
      </c>
      <c r="D85" s="51"/>
      <c r="E85" s="51"/>
      <c r="F85" s="69"/>
    </row>
    <row r="86" spans="1:7">
      <c r="A86" s="3" t="s">
        <v>1577</v>
      </c>
      <c r="B86" s="4" t="str">
        <f t="shared" ref="B86:B91" si="3">VLOOKUP(A86,Insumos,2)</f>
        <v>hierro mejorado de 10 mm.</v>
      </c>
      <c r="C86" s="6" t="str">
        <f t="shared" ref="C86:C91" si="4">VLOOKUP(A86,Insumos,3)</f>
        <v>kg</v>
      </c>
      <c r="D86" s="51">
        <v>14.94</v>
      </c>
      <c r="E86" s="51">
        <f>VLOOKUP(A86,'IN-10-14'!A7:D7,4,FALSE)</f>
        <v>10.584654902836721</v>
      </c>
      <c r="F86" s="69">
        <f t="shared" ref="F86:F91" si="5">(D86*E86)</f>
        <v>158.1347442483806</v>
      </c>
    </row>
    <row r="87" spans="1:7">
      <c r="A87" s="3" t="s">
        <v>1582</v>
      </c>
      <c r="B87" s="4" t="str">
        <f t="shared" si="3"/>
        <v>malla Sima R92</v>
      </c>
      <c r="C87" s="6" t="str">
        <f t="shared" si="4"/>
        <v>kg</v>
      </c>
      <c r="D87" s="51">
        <v>52.5</v>
      </c>
      <c r="E87" s="51">
        <f>VLOOKUP(A87,'IN-10-14'!A9:D9,4,FALSE)</f>
        <v>18.036000000000001</v>
      </c>
      <c r="F87" s="69">
        <f t="shared" si="5"/>
        <v>946.8900000000001</v>
      </c>
    </row>
    <row r="88" spans="1:7">
      <c r="A88" s="3" t="s">
        <v>1578</v>
      </c>
      <c r="B88" s="4" t="str">
        <f t="shared" si="3"/>
        <v>cemento Portland</v>
      </c>
      <c r="C88" s="6" t="str">
        <f t="shared" si="4"/>
        <v>kg</v>
      </c>
      <c r="D88" s="51">
        <v>315</v>
      </c>
      <c r="E88" s="51">
        <f>VLOOKUP(A88,'IN-10-14'!A89:D963,4,FALSE)</f>
        <v>1.7372000000000001</v>
      </c>
      <c r="F88" s="69">
        <f t="shared" si="5"/>
        <v>547.21800000000007</v>
      </c>
    </row>
    <row r="89" spans="1:7">
      <c r="A89" s="3" t="s">
        <v>1579</v>
      </c>
      <c r="B89" s="4" t="str">
        <f t="shared" si="3"/>
        <v>ripio zarandeado 1/3</v>
      </c>
      <c r="C89" s="6" t="str">
        <f t="shared" si="4"/>
        <v>m3</v>
      </c>
      <c r="D89" s="51">
        <v>0.7</v>
      </c>
      <c r="E89" s="51">
        <f>VLOOKUP(A89,'IN-10-14'!A44:D44,4,FALSE)</f>
        <v>157.18044077134985</v>
      </c>
      <c r="F89" s="69">
        <f t="shared" si="5"/>
        <v>110.02630853994489</v>
      </c>
    </row>
    <row r="90" spans="1:7">
      <c r="A90" s="3" t="s">
        <v>1583</v>
      </c>
      <c r="B90" s="4" t="str">
        <f t="shared" si="3"/>
        <v>chapa de hierro N°16 DD de 1 x 2 m.</v>
      </c>
      <c r="C90" s="6" t="str">
        <f t="shared" si="4"/>
        <v>kg</v>
      </c>
      <c r="D90" s="51">
        <v>3.31</v>
      </c>
      <c r="E90" s="51">
        <f>VLOOKUP(A90,'IN-10-14'!A62:D62,4,FALSE)</f>
        <v>12.934529958677686</v>
      </c>
      <c r="F90" s="69">
        <f t="shared" si="5"/>
        <v>42.813294163223141</v>
      </c>
    </row>
    <row r="91" spans="1:7">
      <c r="A91" s="3" t="s">
        <v>1580</v>
      </c>
      <c r="B91" s="4" t="str">
        <f t="shared" si="3"/>
        <v>arena gruesa</v>
      </c>
      <c r="C91" s="6" t="str">
        <f t="shared" si="4"/>
        <v>m3</v>
      </c>
      <c r="D91" s="51">
        <v>0.6</v>
      </c>
      <c r="E91" s="51">
        <f>VLOOKUP(A91,'IN-10-14'!A42:D42,4,FALSE)</f>
        <v>184.46464646464645</v>
      </c>
      <c r="F91" s="69">
        <f t="shared" si="5"/>
        <v>110.67878787878787</v>
      </c>
    </row>
    <row r="92" spans="1:7">
      <c r="A92" s="82" t="s">
        <v>347</v>
      </c>
      <c r="D92" s="51"/>
      <c r="E92" s="51"/>
      <c r="F92" s="69"/>
    </row>
    <row r="93" spans="1:7">
      <c r="A93" s="3" t="s">
        <v>1575</v>
      </c>
      <c r="B93" s="4" t="str">
        <f>VLOOKUP(A93,Insumos,2)</f>
        <v>cuadrilla tipo UOCRA</v>
      </c>
      <c r="C93" s="6" t="str">
        <f>VLOOKUP(A93,Insumos,3)</f>
        <v>h</v>
      </c>
      <c r="D93" s="51">
        <v>30</v>
      </c>
      <c r="E93" s="51">
        <f>VLOOKUP(A93,'IN-10-14'!A94:D968,4,FALSE)</f>
        <v>64.12</v>
      </c>
      <c r="F93" s="69">
        <f>(D93*E93)</f>
        <v>1923.6000000000001</v>
      </c>
    </row>
    <row r="94" spans="1:7">
      <c r="A94" s="82" t="s">
        <v>348</v>
      </c>
      <c r="D94" s="51"/>
      <c r="E94" s="51"/>
      <c r="F94" s="69"/>
    </row>
    <row r="95" spans="1:7">
      <c r="A95" s="3" t="s">
        <v>1581</v>
      </c>
      <c r="B95" s="4" t="str">
        <f>VLOOKUP(A95,Insumos,2)</f>
        <v>canasta 2 (mixer 5m3)</v>
      </c>
      <c r="C95" s="6" t="str">
        <f>VLOOKUP(A95,Insumos,3)</f>
        <v>h</v>
      </c>
      <c r="D95" s="51">
        <v>0.05</v>
      </c>
      <c r="E95" s="51">
        <f>VLOOKUP(A95,'IN-10-14'!A96:D970,4,FALSE)</f>
        <v>827.71566885125844</v>
      </c>
      <c r="F95" s="69">
        <f>(D95*E95)</f>
        <v>41.385783442562925</v>
      </c>
    </row>
    <row r="96" spans="1:7" ht="13.5" thickBot="1">
      <c r="D96" s="51"/>
      <c r="E96" s="51"/>
      <c r="F96" s="69"/>
    </row>
    <row r="97" spans="1:7" ht="13.5" thickTop="1">
      <c r="A97" s="75" t="s">
        <v>342</v>
      </c>
      <c r="B97" s="218" t="s">
        <v>15</v>
      </c>
      <c r="C97" s="77" t="str">
        <f>Fecha</f>
        <v>Oct-14</v>
      </c>
      <c r="D97" s="48"/>
      <c r="E97" s="48"/>
      <c r="F97" s="219">
        <f>SUM(F99:F108)</f>
        <v>4484.3772383602909</v>
      </c>
      <c r="G97" s="41"/>
    </row>
    <row r="98" spans="1:7" ht="13.5" thickBot="1">
      <c r="A98" s="7" t="s">
        <v>341</v>
      </c>
      <c r="B98" s="7" t="s">
        <v>1624</v>
      </c>
      <c r="C98" s="78" t="s">
        <v>340</v>
      </c>
      <c r="D98" s="49" t="s">
        <v>374</v>
      </c>
      <c r="E98" s="50"/>
      <c r="F98" s="68"/>
      <c r="G98" s="42" t="s">
        <v>1922</v>
      </c>
    </row>
    <row r="99" spans="1:7" ht="13.5" thickTop="1">
      <c r="A99" s="82" t="s">
        <v>346</v>
      </c>
      <c r="D99" s="51"/>
      <c r="E99" s="51"/>
      <c r="F99" s="69"/>
    </row>
    <row r="100" spans="1:7">
      <c r="A100" s="3" t="s">
        <v>1577</v>
      </c>
      <c r="B100" s="4" t="str">
        <f>VLOOKUP(A100,Insumos,2)</f>
        <v>hierro mejorado de 10 mm.</v>
      </c>
      <c r="C100" s="6" t="str">
        <f>VLOOKUP(A100,Insumos,3)</f>
        <v>kg</v>
      </c>
      <c r="D100" s="51">
        <f>119+0.6+1+1</f>
        <v>121.6</v>
      </c>
      <c r="E100" s="51">
        <f>VLOOKUP(A100,'IN-10-14'!A7:D7,4,FALSE)</f>
        <v>10.584654902836721</v>
      </c>
      <c r="F100" s="69">
        <f>(D100*E100)</f>
        <v>1287.0940361849453</v>
      </c>
    </row>
    <row r="101" spans="1:7">
      <c r="A101" s="3" t="s">
        <v>1578</v>
      </c>
      <c r="B101" s="4" t="str">
        <f>VLOOKUP(A101,Insumos,2)</f>
        <v>cemento Portland</v>
      </c>
      <c r="C101" s="6" t="str">
        <f>VLOOKUP(A101,Insumos,3)</f>
        <v>kg</v>
      </c>
      <c r="D101" s="51">
        <v>310</v>
      </c>
      <c r="E101" s="51">
        <f>VLOOKUP(A101,'IN-10-14'!A102:D976,4,FALSE)</f>
        <v>1.7372000000000001</v>
      </c>
      <c r="F101" s="69">
        <f>(D101*E101)</f>
        <v>538.53200000000004</v>
      </c>
    </row>
    <row r="102" spans="1:7">
      <c r="A102" s="3" t="s">
        <v>144</v>
      </c>
      <c r="B102" s="4" t="str">
        <f>VLOOKUP(A102,Insumos,2)</f>
        <v>madera 1ra. pino nacional cepillada</v>
      </c>
      <c r="C102" s="6" t="str">
        <f>VLOOKUP(A102,Insumos,3)</f>
        <v>m2</v>
      </c>
      <c r="D102" s="51">
        <v>3.43</v>
      </c>
      <c r="E102" s="51">
        <f>VLOOKUP(A102,'IN-10-14'!A103:D977,4,FALSE)</f>
        <v>114.87603305785125</v>
      </c>
      <c r="F102" s="69">
        <f>(D102*E102)</f>
        <v>394.02479338842977</v>
      </c>
    </row>
    <row r="103" spans="1:7">
      <c r="A103" s="3" t="s">
        <v>1579</v>
      </c>
      <c r="B103" s="4" t="str">
        <f>VLOOKUP(A103,Insumos,2)</f>
        <v>ripio zarandeado 1/3</v>
      </c>
      <c r="C103" s="6" t="str">
        <f>VLOOKUP(A103,Insumos,3)</f>
        <v>m3</v>
      </c>
      <c r="D103" s="51">
        <v>0.91</v>
      </c>
      <c r="E103" s="51">
        <f>VLOOKUP(A103,'IN-10-14'!A44:D44,4,FALSE)</f>
        <v>157.18044077134985</v>
      </c>
      <c r="F103" s="69">
        <f>(D103*E103)</f>
        <v>143.03420110192837</v>
      </c>
    </row>
    <row r="104" spans="1:7">
      <c r="A104" s="3" t="s">
        <v>1580</v>
      </c>
      <c r="B104" s="4" t="str">
        <f>VLOOKUP(A104,Insumos,2)</f>
        <v>arena gruesa</v>
      </c>
      <c r="C104" s="6" t="str">
        <f>VLOOKUP(A104,Insumos,3)</f>
        <v>m3</v>
      </c>
      <c r="D104" s="51">
        <v>0.78</v>
      </c>
      <c r="E104" s="51">
        <f>VLOOKUP(A104,'IN-10-14'!A42:D42,4,FALSE)</f>
        <v>184.46464646464645</v>
      </c>
      <c r="F104" s="69">
        <f>(D104*E104)</f>
        <v>143.88242424242424</v>
      </c>
    </row>
    <row r="105" spans="1:7">
      <c r="A105" s="82" t="s">
        <v>347</v>
      </c>
      <c r="D105" s="51"/>
      <c r="E105" s="51"/>
      <c r="F105" s="69"/>
    </row>
    <row r="106" spans="1:7">
      <c r="A106" s="3" t="s">
        <v>1575</v>
      </c>
      <c r="B106" s="4" t="str">
        <f>VLOOKUP(A106,Insumos,2)</f>
        <v>cuadrilla tipo UOCRA</v>
      </c>
      <c r="C106" s="6" t="str">
        <f>VLOOKUP(A106,Insumos,3)</f>
        <v>h</v>
      </c>
      <c r="D106" s="64">
        <f>30.2</f>
        <v>30.2</v>
      </c>
      <c r="E106" s="51">
        <f>VLOOKUP(A106,'IN-10-14'!A107:D981,4,FALSE)</f>
        <v>64.12</v>
      </c>
      <c r="F106" s="69">
        <f>(D106*E106)</f>
        <v>1936.424</v>
      </c>
    </row>
    <row r="107" spans="1:7">
      <c r="A107" s="82" t="s">
        <v>348</v>
      </c>
      <c r="D107" s="51"/>
      <c r="E107" s="51"/>
      <c r="F107" s="69"/>
    </row>
    <row r="108" spans="1:7">
      <c r="A108" s="3" t="s">
        <v>1581</v>
      </c>
      <c r="B108" s="4" t="str">
        <f>VLOOKUP(A108,Insumos,2)</f>
        <v>canasta 2 (mixer 5m3)</v>
      </c>
      <c r="C108" s="6" t="str">
        <f>VLOOKUP(A108,Insumos,3)</f>
        <v>h</v>
      </c>
      <c r="D108" s="51">
        <v>0.05</v>
      </c>
      <c r="E108" s="51">
        <f>VLOOKUP(A108,'IN-10-14'!A109:D983,4,FALSE)</f>
        <v>827.71566885125844</v>
      </c>
      <c r="F108" s="69">
        <f>(D108*E108)</f>
        <v>41.385783442562925</v>
      </c>
    </row>
    <row r="109" spans="1:7" ht="13.5" thickBot="1"/>
    <row r="110" spans="1:7" ht="13.5" thickTop="1">
      <c r="A110" s="75" t="s">
        <v>342</v>
      </c>
      <c r="B110" s="218" t="s">
        <v>15</v>
      </c>
      <c r="C110" s="77" t="str">
        <f>Fecha</f>
        <v>Oct-14</v>
      </c>
      <c r="D110" s="48"/>
      <c r="E110" s="48"/>
      <c r="F110" s="219">
        <f>SUM(F112:F121)</f>
        <v>4994.8022687377752</v>
      </c>
      <c r="G110" s="41"/>
    </row>
    <row r="111" spans="1:7" ht="13.5" thickBot="1">
      <c r="A111" s="7" t="s">
        <v>341</v>
      </c>
      <c r="B111" s="7" t="s">
        <v>1624</v>
      </c>
      <c r="C111" s="78" t="s">
        <v>340</v>
      </c>
      <c r="D111" s="49" t="s">
        <v>376</v>
      </c>
      <c r="E111" s="50"/>
      <c r="F111" s="68"/>
      <c r="G111" s="42" t="s">
        <v>1922</v>
      </c>
    </row>
    <row r="112" spans="1:7" ht="13.5" thickTop="1">
      <c r="A112" s="82" t="s">
        <v>346</v>
      </c>
      <c r="D112" s="51"/>
      <c r="E112" s="51"/>
      <c r="F112" s="69"/>
    </row>
    <row r="113" spans="1:7">
      <c r="A113" s="3" t="s">
        <v>1577</v>
      </c>
      <c r="B113" s="4" t="str">
        <f>VLOOKUP(A113,Insumos,2)</f>
        <v>hierro mejorado de 10 mm.</v>
      </c>
      <c r="C113" s="6" t="str">
        <f>VLOOKUP(A113,Insumos,3)</f>
        <v>kg</v>
      </c>
      <c r="D113" s="51">
        <f>132+12+3.4</f>
        <v>147.4</v>
      </c>
      <c r="E113" s="51">
        <f>VLOOKUP(A113,'IN-10-14'!A7:D7,4,FALSE)</f>
        <v>10.584654902836721</v>
      </c>
      <c r="F113" s="69">
        <f>(D113*E113)</f>
        <v>1560.1781326781329</v>
      </c>
    </row>
    <row r="114" spans="1:7">
      <c r="A114" s="3" t="s">
        <v>1578</v>
      </c>
      <c r="B114" s="4" t="str">
        <f>VLOOKUP(A114,Insumos,2)</f>
        <v>cemento Portland</v>
      </c>
      <c r="C114" s="6" t="str">
        <f>VLOOKUP(A114,Insumos,3)</f>
        <v>kg</v>
      </c>
      <c r="D114" s="51">
        <v>310</v>
      </c>
      <c r="E114" s="51">
        <f>VLOOKUP(A114,'IN-10-14'!A115:D989,4,FALSE)</f>
        <v>1.7372000000000001</v>
      </c>
      <c r="F114" s="69">
        <f>(D114*E114)</f>
        <v>538.53200000000004</v>
      </c>
    </row>
    <row r="115" spans="1:7">
      <c r="A115" s="3" t="s">
        <v>144</v>
      </c>
      <c r="B115" s="4" t="str">
        <f>VLOOKUP(A115,Insumos,2)</f>
        <v>madera 1ra. pino nacional cepillada</v>
      </c>
      <c r="C115" s="6" t="str">
        <f>VLOOKUP(A115,Insumos,3)</f>
        <v>m2</v>
      </c>
      <c r="D115" s="51">
        <v>1.9419999999999999</v>
      </c>
      <c r="E115" s="51">
        <f>VLOOKUP(A115,'IN-10-14'!A116:D990,4,FALSE)</f>
        <v>114.87603305785125</v>
      </c>
      <c r="F115" s="69">
        <f>(D115*E115)</f>
        <v>223.0892561983471</v>
      </c>
    </row>
    <row r="116" spans="1:7">
      <c r="A116" s="3" t="s">
        <v>1579</v>
      </c>
      <c r="B116" s="4" t="str">
        <f>VLOOKUP(A116,Insumos,2)</f>
        <v>ripio zarandeado 1/3</v>
      </c>
      <c r="C116" s="6" t="str">
        <f>VLOOKUP(A116,Insumos,3)</f>
        <v>m3</v>
      </c>
      <c r="D116" s="51">
        <v>0.7</v>
      </c>
      <c r="E116" s="51">
        <f>VLOOKUP(A116,'IN-10-14'!A44:D44,4,FALSE)</f>
        <v>157.18044077134985</v>
      </c>
      <c r="F116" s="69">
        <f>(D116*E116)</f>
        <v>110.02630853994489</v>
      </c>
    </row>
    <row r="117" spans="1:7">
      <c r="A117" s="3" t="s">
        <v>1580</v>
      </c>
      <c r="B117" s="4" t="str">
        <f>VLOOKUP(A117,Insumos,2)</f>
        <v>arena gruesa</v>
      </c>
      <c r="C117" s="6" t="str">
        <f>VLOOKUP(A117,Insumos,3)</f>
        <v>m3</v>
      </c>
      <c r="D117" s="51">
        <v>0.6</v>
      </c>
      <c r="E117" s="51">
        <f>VLOOKUP(A117,'IN-10-14'!A42:D42,4,FALSE)</f>
        <v>184.46464646464645</v>
      </c>
      <c r="F117" s="69">
        <f>(D117*E117)</f>
        <v>110.67878787878787</v>
      </c>
    </row>
    <row r="118" spans="1:7">
      <c r="A118" s="82" t="s">
        <v>347</v>
      </c>
      <c r="D118" s="51"/>
      <c r="E118" s="51"/>
      <c r="F118" s="69"/>
    </row>
    <row r="119" spans="1:7">
      <c r="A119" s="3" t="s">
        <v>1575</v>
      </c>
      <c r="B119" s="4" t="str">
        <f>VLOOKUP(A119,Insumos,2)</f>
        <v>cuadrilla tipo UOCRA</v>
      </c>
      <c r="C119" s="6" t="str">
        <f>VLOOKUP(A119,Insumos,3)</f>
        <v>h</v>
      </c>
      <c r="D119" s="51">
        <v>37.6</v>
      </c>
      <c r="E119" s="51">
        <f>VLOOKUP(A119,'IN-10-14'!A120:D994,4,FALSE)</f>
        <v>64.12</v>
      </c>
      <c r="F119" s="69">
        <f>(D119*E119)</f>
        <v>2410.9120000000003</v>
      </c>
    </row>
    <row r="120" spans="1:7">
      <c r="A120" s="82" t="s">
        <v>348</v>
      </c>
      <c r="D120" s="51"/>
      <c r="E120" s="51"/>
      <c r="F120" s="69"/>
    </row>
    <row r="121" spans="1:7">
      <c r="A121" s="3" t="s">
        <v>1581</v>
      </c>
      <c r="B121" s="4" t="str">
        <f>VLOOKUP(A121,Insumos,2)</f>
        <v>canasta 2 (mixer 5m3)</v>
      </c>
      <c r="C121" s="6" t="str">
        <f>VLOOKUP(A121,Insumos,3)</f>
        <v>h</v>
      </c>
      <c r="D121" s="51">
        <v>0.05</v>
      </c>
      <c r="E121" s="51">
        <f>VLOOKUP(A121,'IN-10-14'!A110:D110,4,FALSE)</f>
        <v>827.71566885125844</v>
      </c>
      <c r="F121" s="69">
        <f>(D121*E121)</f>
        <v>41.385783442562925</v>
      </c>
    </row>
    <row r="122" spans="1:7" ht="13.5" thickBot="1"/>
    <row r="123" spans="1:7" ht="13.5" thickTop="1">
      <c r="A123" s="75" t="s">
        <v>342</v>
      </c>
      <c r="B123" s="218" t="s">
        <v>15</v>
      </c>
      <c r="C123" s="77" t="str">
        <f>Fecha</f>
        <v>Oct-14</v>
      </c>
      <c r="D123" s="48"/>
      <c r="E123" s="48"/>
      <c r="F123" s="219">
        <f>SUM(F125:F134)</f>
        <v>5787.0004679783387</v>
      </c>
      <c r="G123" s="41"/>
    </row>
    <row r="124" spans="1:7" ht="13.5" thickBot="1">
      <c r="A124" s="7" t="s">
        <v>341</v>
      </c>
      <c r="B124" s="7" t="s">
        <v>1624</v>
      </c>
      <c r="C124" s="78" t="s">
        <v>340</v>
      </c>
      <c r="D124" s="49" t="s">
        <v>378</v>
      </c>
      <c r="E124" s="50"/>
      <c r="F124" s="68"/>
      <c r="G124" s="42" t="s">
        <v>1922</v>
      </c>
    </row>
    <row r="125" spans="1:7" ht="13.5" thickTop="1">
      <c r="A125" s="82" t="s">
        <v>346</v>
      </c>
      <c r="D125" s="51"/>
      <c r="E125" s="51"/>
      <c r="F125" s="69"/>
    </row>
    <row r="126" spans="1:7">
      <c r="A126" s="3" t="s">
        <v>1577</v>
      </c>
      <c r="B126" s="4" t="str">
        <f>VLOOKUP(A126,Insumos,2)</f>
        <v>hierro mejorado de 10 mm.</v>
      </c>
      <c r="C126" s="6" t="str">
        <f>VLOOKUP(A126,Insumos,3)</f>
        <v>kg</v>
      </c>
      <c r="D126" s="51">
        <f>214+2.5</f>
        <v>216.5</v>
      </c>
      <c r="E126" s="51">
        <f>VLOOKUP(A126,'IN-10-14'!A7:D7,4,FALSE)</f>
        <v>10.584654902836721</v>
      </c>
      <c r="F126" s="69">
        <f>(D126*E126)</f>
        <v>2291.57778646415</v>
      </c>
    </row>
    <row r="127" spans="1:7">
      <c r="A127" s="3" t="s">
        <v>1578</v>
      </c>
      <c r="B127" s="4" t="str">
        <f>VLOOKUP(A127,Insumos,2)</f>
        <v>cemento Portland</v>
      </c>
      <c r="C127" s="6" t="str">
        <f>VLOOKUP(A127,Insumos,3)</f>
        <v>kg</v>
      </c>
      <c r="D127" s="51">
        <v>315</v>
      </c>
      <c r="E127" s="51">
        <f>VLOOKUP(A127,'IN-10-14'!A128:D1002,4,FALSE)</f>
        <v>1.7372000000000001</v>
      </c>
      <c r="F127" s="69">
        <f>(D127*E127)</f>
        <v>547.21800000000007</v>
      </c>
    </row>
    <row r="128" spans="1:7">
      <c r="A128" s="3" t="s">
        <v>144</v>
      </c>
      <c r="B128" s="4" t="str">
        <f>VLOOKUP(A128,Insumos,2)</f>
        <v>madera 1ra. pino nacional cepillada</v>
      </c>
      <c r="C128" s="6" t="str">
        <f>VLOOKUP(A128,Insumos,3)</f>
        <v>m2</v>
      </c>
      <c r="D128" s="51">
        <v>2.5910000000000002</v>
      </c>
      <c r="E128" s="51">
        <f>VLOOKUP(A128,'IN-10-14'!A129:D1003,4,FALSE)</f>
        <v>114.87603305785125</v>
      </c>
      <c r="F128" s="69">
        <f>(D128*E128)</f>
        <v>297.64380165289259</v>
      </c>
    </row>
    <row r="129" spans="1:6">
      <c r="A129" s="3" t="s">
        <v>1579</v>
      </c>
      <c r="B129" s="4" t="str">
        <f>VLOOKUP(A129,Insumos,2)</f>
        <v>ripio zarandeado 1/3</v>
      </c>
      <c r="C129" s="6" t="str">
        <f>VLOOKUP(A129,Insumos,3)</f>
        <v>m3</v>
      </c>
      <c r="D129" s="51">
        <v>0.7</v>
      </c>
      <c r="E129" s="51">
        <f>VLOOKUP(A129,'IN-10-14'!A44:D44,4,FALSE)</f>
        <v>157.18044077134985</v>
      </c>
      <c r="F129" s="69">
        <f>(D129*E129)</f>
        <v>110.02630853994489</v>
      </c>
    </row>
    <row r="130" spans="1:6">
      <c r="A130" s="3" t="s">
        <v>1580</v>
      </c>
      <c r="B130" s="4" t="str">
        <f>VLOOKUP(A130,Insumos,2)</f>
        <v>arena gruesa</v>
      </c>
      <c r="C130" s="6" t="str">
        <f>VLOOKUP(A130,Insumos,3)</f>
        <v>m3</v>
      </c>
      <c r="D130" s="51">
        <v>0.6</v>
      </c>
      <c r="E130" s="51">
        <f>VLOOKUP(A130,'IN-10-14'!A42:D42,4,FALSE)</f>
        <v>184.46464646464645</v>
      </c>
      <c r="F130" s="69">
        <f>(D130*E130)</f>
        <v>110.67878787878787</v>
      </c>
    </row>
    <row r="131" spans="1:6">
      <c r="A131" s="82" t="s">
        <v>347</v>
      </c>
      <c r="D131" s="51"/>
      <c r="E131" s="51"/>
      <c r="F131" s="69"/>
    </row>
    <row r="132" spans="1:6">
      <c r="A132" s="3" t="s">
        <v>1575</v>
      </c>
      <c r="B132" s="4" t="str">
        <f>VLOOKUP(A132,Insumos,2)</f>
        <v>cuadrilla tipo UOCRA</v>
      </c>
      <c r="C132" s="6" t="str">
        <f>VLOOKUP(A132,Insumos,3)</f>
        <v>h</v>
      </c>
      <c r="D132" s="64">
        <v>37.25</v>
      </c>
      <c r="E132" s="51">
        <f>VLOOKUP(A132,'IN-10-14'!A133:D1007,4,FALSE)</f>
        <v>64.12</v>
      </c>
      <c r="F132" s="69">
        <f>(D132*E132)</f>
        <v>2388.4700000000003</v>
      </c>
    </row>
    <row r="133" spans="1:6">
      <c r="A133" s="82" t="s">
        <v>348</v>
      </c>
      <c r="D133" s="51"/>
      <c r="E133" s="51"/>
      <c r="F133" s="69"/>
    </row>
    <row r="134" spans="1:6">
      <c r="A134" s="3" t="s">
        <v>1581</v>
      </c>
      <c r="B134" s="4" t="str">
        <f>VLOOKUP(A134,Insumos,2)</f>
        <v>canasta 2 (mixer 5m3)</v>
      </c>
      <c r="C134" s="6" t="str">
        <f>VLOOKUP(A134,Insumos,3)</f>
        <v>h</v>
      </c>
      <c r="D134" s="51">
        <v>0.05</v>
      </c>
      <c r="E134" s="51">
        <f>VLOOKUP(A134,'IN-10-14'!A110:D110,4,FALSE)</f>
        <v>827.71566885125844</v>
      </c>
      <c r="F134" s="69">
        <f>(D134*E134)</f>
        <v>41.385783442562925</v>
      </c>
    </row>
  </sheetData>
  <customSheetViews>
    <customSheetView guid="{0D76B64C-AC04-4788-917D-4511FD9E9090}" showPageBreaks="1" showGridLines="0" printArea="1" hiddenColumns="1" showRuler="0">
      <selection activeCell="O59" sqref="O59"/>
      <rowBreaks count="1" manualBreakCount="1">
        <brk id="87" max="14" man="1"/>
      </rowBreaks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rowBreaks count="1" manualBreakCount="1">
        <brk id="87" max="14" man="1"/>
      </rowBreaks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 topLeftCell="A60">
      <selection activeCell="E79" sqref="E79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6">
    <tabColor indexed="50"/>
  </sheetPr>
  <dimension ref="A1:G125"/>
  <sheetViews>
    <sheetView showGridLines="0" zoomScale="90" zoomScaleNormal="75" zoomScaleSheetLayoutView="75" workbookViewId="0">
      <selection activeCell="E24" sqref="E24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>
      <c r="D1" s="51"/>
      <c r="E1" s="51"/>
      <c r="F1" s="69"/>
    </row>
    <row r="2" spans="1:7" ht="13.5" thickTop="1">
      <c r="A2" s="75" t="s">
        <v>342</v>
      </c>
      <c r="B2" s="218" t="s">
        <v>1766</v>
      </c>
      <c r="C2" s="77" t="str">
        <f>Fecha</f>
        <v>Oct-14</v>
      </c>
      <c r="D2" s="48"/>
      <c r="E2" s="48"/>
      <c r="F2" s="219">
        <f>SUM(F4:F12)</f>
        <v>263.02637779774506</v>
      </c>
      <c r="G2" s="41"/>
    </row>
    <row r="3" spans="1:7" ht="13.5" thickBot="1">
      <c r="A3" s="7" t="s">
        <v>341</v>
      </c>
      <c r="B3" s="7" t="s">
        <v>1625</v>
      </c>
      <c r="C3" s="78" t="s">
        <v>340</v>
      </c>
      <c r="D3" s="49" t="s">
        <v>1787</v>
      </c>
      <c r="E3" s="50"/>
      <c r="F3" s="68"/>
      <c r="G3" s="42" t="s">
        <v>1876</v>
      </c>
    </row>
    <row r="4" spans="1:7" ht="13.5" thickTop="1">
      <c r="A4" s="82" t="s">
        <v>346</v>
      </c>
      <c r="D4" s="51"/>
      <c r="E4" s="51"/>
      <c r="F4" s="69"/>
    </row>
    <row r="5" spans="1:7">
      <c r="A5" s="3" t="s">
        <v>1585</v>
      </c>
      <c r="B5" s="4" t="str">
        <f>VLOOKUP(A5,Insumos,2)</f>
        <v>cal hidratada en bolsa</v>
      </c>
      <c r="C5" s="6" t="str">
        <f>VLOOKUP(A5,Insumos,3)</f>
        <v>kg</v>
      </c>
      <c r="D5" s="51">
        <v>6.96</v>
      </c>
      <c r="E5" s="51">
        <f>VLOOKUP(A5,'IN-10-14'!A6:D880,4,FALSE)</f>
        <v>1.9256198347107438</v>
      </c>
      <c r="F5" s="69">
        <f>(D5*E5)</f>
        <v>13.402314049586778</v>
      </c>
    </row>
    <row r="6" spans="1:7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4.13</v>
      </c>
      <c r="E6" s="51">
        <f>VLOOKUP(A6,'IN-10-14'!A7:D881,4,FALSE)</f>
        <v>1.7372000000000001</v>
      </c>
      <c r="F6" s="69">
        <f>(D6*E6)</f>
        <v>7.1746360000000005</v>
      </c>
    </row>
    <row r="7" spans="1:7">
      <c r="A7" s="3" t="s">
        <v>1586</v>
      </c>
      <c r="B7" s="4" t="str">
        <f>VLOOKUP(A7,Insumos,2)</f>
        <v>ladrillo común de 1ra.calidad</v>
      </c>
      <c r="C7" s="6" t="str">
        <f>VLOOKUP(A7,Insumos,3)</f>
        <v>mil</v>
      </c>
      <c r="D7" s="51">
        <v>5.5E-2</v>
      </c>
      <c r="E7" s="51">
        <f>VLOOKUP(A7,'IN-10-14'!A8:D882,4,FALSE)</f>
        <v>2231.404958677686</v>
      </c>
      <c r="F7" s="69">
        <f>(D7*E7)</f>
        <v>122.72727272727273</v>
      </c>
    </row>
    <row r="8" spans="1:7">
      <c r="A8" s="3" t="s">
        <v>1580</v>
      </c>
      <c r="B8" s="4" t="str">
        <f>VLOOKUP(A8,Insumos,2)</f>
        <v>arena gruesa</v>
      </c>
      <c r="C8" s="6" t="str">
        <f>VLOOKUP(A8,Insumos,3)</f>
        <v>m3</v>
      </c>
      <c r="D8" s="51">
        <v>4.7E-2</v>
      </c>
      <c r="E8" s="51">
        <f>VLOOKUP(A8,'IN-10-14'!A9:D883,4,FALSE)</f>
        <v>184.46464646464645</v>
      </c>
      <c r="F8" s="69">
        <f>(D8*E8)</f>
        <v>8.6698383838383837</v>
      </c>
    </row>
    <row r="9" spans="1:7">
      <c r="A9" s="82" t="s">
        <v>347</v>
      </c>
      <c r="D9" s="51"/>
      <c r="E9" s="51"/>
      <c r="F9" s="69"/>
    </row>
    <row r="10" spans="1:7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v>1.71</v>
      </c>
      <c r="E10" s="51">
        <f>VLOOKUP(A10,'IN-10-14'!A11:D885,4,FALSE)</f>
        <v>64.12</v>
      </c>
      <c r="F10" s="69">
        <f>(D10*E10)</f>
        <v>109.6452</v>
      </c>
    </row>
    <row r="11" spans="1:7">
      <c r="A11" s="82" t="s">
        <v>348</v>
      </c>
      <c r="D11" s="51"/>
      <c r="E11" s="51"/>
      <c r="F11" s="69"/>
    </row>
    <row r="12" spans="1:7">
      <c r="A12" s="3" t="s">
        <v>1581</v>
      </c>
      <c r="B12" s="4" t="str">
        <f>VLOOKUP(A12,Insumos,2)</f>
        <v>canasta 2 (mixer 5m3)</v>
      </c>
      <c r="C12" s="6" t="str">
        <f>VLOOKUP(A12,Insumos,3)</f>
        <v>h</v>
      </c>
      <c r="D12" s="51">
        <v>1.6999999999999999E-3</v>
      </c>
      <c r="E12" s="51">
        <f>VLOOKUP(A12,'IN-10-14'!A13:D887,4,FALSE)</f>
        <v>827.71566885125844</v>
      </c>
      <c r="F12" s="69">
        <f>(D12*E12)</f>
        <v>1.4071166370471393</v>
      </c>
    </row>
    <row r="13" spans="1:7" ht="13.5" thickBot="1">
      <c r="D13" s="51"/>
      <c r="E13" s="51"/>
      <c r="F13" s="69"/>
    </row>
    <row r="14" spans="1:7" ht="13.5" thickTop="1">
      <c r="A14" s="75" t="s">
        <v>342</v>
      </c>
      <c r="B14" s="218" t="s">
        <v>1790</v>
      </c>
      <c r="C14" s="77" t="str">
        <f>Fecha</f>
        <v>Oct-14</v>
      </c>
      <c r="D14" s="48"/>
      <c r="E14" s="48"/>
      <c r="F14" s="219">
        <f>SUM(F16:F24)</f>
        <v>1867.6910481133964</v>
      </c>
      <c r="G14" s="41"/>
    </row>
    <row r="15" spans="1:7" ht="13.5" thickBot="1">
      <c r="A15" s="7" t="s">
        <v>341</v>
      </c>
      <c r="B15" s="7" t="s">
        <v>1625</v>
      </c>
      <c r="C15" s="78" t="s">
        <v>340</v>
      </c>
      <c r="D15" s="49" t="s">
        <v>1786</v>
      </c>
      <c r="E15" s="50"/>
      <c r="F15" s="68"/>
      <c r="G15" s="42" t="s">
        <v>1922</v>
      </c>
    </row>
    <row r="16" spans="1:7" ht="13.5" thickTop="1">
      <c r="A16" s="82" t="s">
        <v>346</v>
      </c>
      <c r="D16" s="51"/>
      <c r="E16" s="51"/>
      <c r="F16" s="69"/>
    </row>
    <row r="17" spans="1:7">
      <c r="A17" s="3" t="s">
        <v>1585</v>
      </c>
      <c r="B17" s="4" t="str">
        <f>VLOOKUP(A17,Insumos,2)</f>
        <v>cal hidratada en bolsa</v>
      </c>
      <c r="C17" s="6" t="str">
        <f>VLOOKUP(A17,Insumos,3)</f>
        <v>kg</v>
      </c>
      <c r="D17" s="51">
        <v>57.6</v>
      </c>
      <c r="E17" s="51">
        <f>VLOOKUP(A17,'IN-10-14'!A18:D892,4,FALSE)</f>
        <v>1.9256198347107438</v>
      </c>
      <c r="F17" s="69">
        <f>(D17*E17)</f>
        <v>110.91570247933885</v>
      </c>
    </row>
    <row r="18" spans="1:7">
      <c r="A18" s="3" t="s">
        <v>1578</v>
      </c>
      <c r="B18" s="4" t="str">
        <f>VLOOKUP(A18,Insumos,2)</f>
        <v>cemento Portland</v>
      </c>
      <c r="C18" s="6" t="str">
        <f>VLOOKUP(A18,Insumos,3)</f>
        <v>kg</v>
      </c>
      <c r="D18" s="51">
        <v>34.200000000000003</v>
      </c>
      <c r="E18" s="51">
        <f>VLOOKUP(A18,'IN-10-14'!A19:D893,4,FALSE)</f>
        <v>1.7372000000000001</v>
      </c>
      <c r="F18" s="69">
        <f>(D18*E18)</f>
        <v>59.412240000000004</v>
      </c>
    </row>
    <row r="19" spans="1:7">
      <c r="A19" s="3" t="s">
        <v>1586</v>
      </c>
      <c r="B19" s="4" t="str">
        <f>VLOOKUP(A19,Insumos,2)</f>
        <v>ladrillo común de 1ra.calidad</v>
      </c>
      <c r="C19" s="6" t="str">
        <f>VLOOKUP(A19,Insumos,3)</f>
        <v>mil</v>
      </c>
      <c r="D19" s="51">
        <v>0.4</v>
      </c>
      <c r="E19" s="51">
        <f>VLOOKUP(A19,'IN-10-14'!A20:D894,4,FALSE)</f>
        <v>2231.404958677686</v>
      </c>
      <c r="F19" s="69">
        <f>(D19*E19)</f>
        <v>892.56198347107443</v>
      </c>
    </row>
    <row r="20" spans="1:7">
      <c r="A20" s="3" t="s">
        <v>1580</v>
      </c>
      <c r="B20" s="4" t="str">
        <f>VLOOKUP(A20,Insumos,2)</f>
        <v>arena gruesa</v>
      </c>
      <c r="C20" s="6" t="str">
        <f>VLOOKUP(A20,Insumos,3)</f>
        <v>m3</v>
      </c>
      <c r="D20" s="51">
        <v>0.38500000000000001</v>
      </c>
      <c r="E20" s="51">
        <f>VLOOKUP(A20,'IN-10-14'!A21:D895,4,FALSE)</f>
        <v>184.46464646464645</v>
      </c>
      <c r="F20" s="69">
        <f>(D20*E20)</f>
        <v>71.018888888888881</v>
      </c>
    </row>
    <row r="21" spans="1:7">
      <c r="A21" s="82" t="s">
        <v>347</v>
      </c>
      <c r="D21" s="51"/>
      <c r="E21" s="51"/>
      <c r="F21" s="69"/>
    </row>
    <row r="22" spans="1:7">
      <c r="A22" s="3" t="s">
        <v>1575</v>
      </c>
      <c r="B22" s="4" t="str">
        <f>VLOOKUP(A22,Insumos,2)</f>
        <v>cuadrilla tipo UOCRA</v>
      </c>
      <c r="C22" s="6" t="str">
        <f>VLOOKUP(A22,Insumos,3)</f>
        <v>h</v>
      </c>
      <c r="D22" s="51">
        <v>11.4</v>
      </c>
      <c r="E22" s="51">
        <f>VLOOKUP(A22,'IN-10-14'!A23:D897,4,FALSE)</f>
        <v>64.12</v>
      </c>
      <c r="F22" s="69">
        <f>(D22*E22)</f>
        <v>730.96800000000007</v>
      </c>
    </row>
    <row r="23" spans="1:7">
      <c r="A23" s="82" t="s">
        <v>348</v>
      </c>
      <c r="D23" s="51"/>
      <c r="E23" s="51"/>
      <c r="F23" s="69"/>
    </row>
    <row r="24" spans="1:7">
      <c r="A24" s="3" t="s">
        <v>1581</v>
      </c>
      <c r="B24" s="4" t="str">
        <f>VLOOKUP(A24,Insumos,2)</f>
        <v>canasta 2 (mixer 5m3)</v>
      </c>
      <c r="C24" s="6" t="str">
        <f>VLOOKUP(A24,Insumos,3)</f>
        <v>h</v>
      </c>
      <c r="D24" s="51">
        <v>3.3999999999999998E-3</v>
      </c>
      <c r="E24" s="51">
        <f>VLOOKUP(A24,'IN-10-14'!A25:D899,4,FALSE)</f>
        <v>827.71566885125844</v>
      </c>
      <c r="F24" s="69">
        <f>(D24*E24)</f>
        <v>2.8142332740942786</v>
      </c>
    </row>
    <row r="25" spans="1:7" ht="13.5" thickBot="1">
      <c r="A25" s="3"/>
      <c r="B25" s="4"/>
      <c r="C25" s="6"/>
      <c r="D25" s="51"/>
      <c r="E25" s="51"/>
      <c r="F25" s="69"/>
    </row>
    <row r="26" spans="1:7" ht="13.5" thickTop="1">
      <c r="A26" s="75" t="s">
        <v>342</v>
      </c>
      <c r="B26" s="218" t="s">
        <v>1791</v>
      </c>
      <c r="C26" s="77" t="str">
        <f>Fecha</f>
        <v>Oct-14</v>
      </c>
      <c r="D26" s="48" t="s">
        <v>1837</v>
      </c>
      <c r="E26" s="48"/>
      <c r="F26" s="219">
        <f>SUM(F28:F36)</f>
        <v>2019.1372481133965</v>
      </c>
      <c r="G26" s="41"/>
    </row>
    <row r="27" spans="1:7" ht="13.5" thickBot="1">
      <c r="A27" s="7" t="s">
        <v>341</v>
      </c>
      <c r="B27" s="7" t="s">
        <v>1625</v>
      </c>
      <c r="C27" s="78" t="s">
        <v>340</v>
      </c>
      <c r="D27" s="49" t="s">
        <v>1789</v>
      </c>
      <c r="E27" s="50"/>
      <c r="F27" s="68"/>
      <c r="G27" s="42" t="s">
        <v>1922</v>
      </c>
    </row>
    <row r="28" spans="1:7" ht="13.5" thickTop="1">
      <c r="A28" s="82" t="s">
        <v>346</v>
      </c>
      <c r="D28" s="51"/>
      <c r="E28" s="51"/>
      <c r="F28" s="69"/>
    </row>
    <row r="29" spans="1:7">
      <c r="A29" s="3" t="s">
        <v>1585</v>
      </c>
      <c r="B29" s="4" t="str">
        <f>VLOOKUP(A29,Insumos,2)</f>
        <v>cal hidratada en bolsa</v>
      </c>
      <c r="C29" s="6" t="str">
        <f>VLOOKUP(A29,Insumos,3)</f>
        <v>kg</v>
      </c>
      <c r="D29" s="51">
        <v>57.6</v>
      </c>
      <c r="E29" s="51">
        <f>VLOOKUP(A29,'IN-10-14'!A30:D904,4,FALSE)</f>
        <v>1.9256198347107438</v>
      </c>
      <c r="F29" s="69">
        <f>(D29*E29)</f>
        <v>110.91570247933885</v>
      </c>
    </row>
    <row r="30" spans="1:7">
      <c r="A30" s="3" t="s">
        <v>1578</v>
      </c>
      <c r="B30" s="4" t="str">
        <f>VLOOKUP(A30,Insumos,2)</f>
        <v>cemento Portland</v>
      </c>
      <c r="C30" s="6" t="str">
        <f>VLOOKUP(A30,Insumos,3)</f>
        <v>kg</v>
      </c>
      <c r="D30" s="51">
        <v>38.700000000000003</v>
      </c>
      <c r="E30" s="51">
        <f>VLOOKUP(A30,'IN-10-14'!A31:D905,4,FALSE)</f>
        <v>1.7372000000000001</v>
      </c>
      <c r="F30" s="69">
        <f>(D30*E30)</f>
        <v>67.229640000000003</v>
      </c>
    </row>
    <row r="31" spans="1:7">
      <c r="A31" s="3" t="s">
        <v>1586</v>
      </c>
      <c r="B31" s="4" t="str">
        <f>VLOOKUP(A31,Insumos,2)</f>
        <v>ladrillo común de 1ra.calidad</v>
      </c>
      <c r="C31" s="6" t="str">
        <f>VLOOKUP(A31,Insumos,3)</f>
        <v>mil</v>
      </c>
      <c r="D31" s="51">
        <v>0.4</v>
      </c>
      <c r="E31" s="51">
        <f>VLOOKUP(A31,'IN-10-14'!A32:D906,4,FALSE)</f>
        <v>2231.404958677686</v>
      </c>
      <c r="F31" s="69">
        <f>(D31*E31)</f>
        <v>892.56198347107443</v>
      </c>
    </row>
    <row r="32" spans="1:7">
      <c r="A32" s="3" t="s">
        <v>1580</v>
      </c>
      <c r="B32" s="4" t="str">
        <f>VLOOKUP(A32,Insumos,2)</f>
        <v>arena gruesa</v>
      </c>
      <c r="C32" s="6" t="str">
        <f>VLOOKUP(A32,Insumos,3)</f>
        <v>m3</v>
      </c>
      <c r="D32" s="51">
        <v>0.38500000000000001</v>
      </c>
      <c r="E32" s="51">
        <f>VLOOKUP(A32,'IN-10-14'!A33:D907,4,FALSE)</f>
        <v>184.46464646464645</v>
      </c>
      <c r="F32" s="69">
        <f>(D32*E32)</f>
        <v>71.018888888888881</v>
      </c>
    </row>
    <row r="33" spans="1:7">
      <c r="A33" s="82" t="s">
        <v>347</v>
      </c>
      <c r="D33" s="51"/>
      <c r="E33" s="51"/>
      <c r="F33" s="69"/>
    </row>
    <row r="34" spans="1:7">
      <c r="A34" s="3" t="s">
        <v>1575</v>
      </c>
      <c r="B34" s="4" t="str">
        <f>VLOOKUP(A34,Insumos,2)</f>
        <v>cuadrilla tipo UOCRA</v>
      </c>
      <c r="C34" s="6" t="str">
        <f>VLOOKUP(A34,Insumos,3)</f>
        <v>h</v>
      </c>
      <c r="D34" s="51">
        <v>13.64</v>
      </c>
      <c r="E34" s="51">
        <f>VLOOKUP(A34,'IN-10-14'!A35:D909,4,FALSE)</f>
        <v>64.12</v>
      </c>
      <c r="F34" s="69">
        <f>(D34*E34)</f>
        <v>874.59680000000014</v>
      </c>
    </row>
    <row r="35" spans="1:7">
      <c r="A35" s="82" t="s">
        <v>348</v>
      </c>
      <c r="D35" s="51"/>
      <c r="E35" s="51"/>
      <c r="F35" s="69"/>
    </row>
    <row r="36" spans="1:7">
      <c r="A36" s="3" t="s">
        <v>1581</v>
      </c>
      <c r="B36" s="4" t="str">
        <f>VLOOKUP(A36,Insumos,2)</f>
        <v>canasta 2 (mixer 5m3)</v>
      </c>
      <c r="C36" s="6" t="str">
        <f>VLOOKUP(A36,Insumos,3)</f>
        <v>h</v>
      </c>
      <c r="D36" s="51">
        <v>3.3999999999999998E-3</v>
      </c>
      <c r="E36" s="51">
        <f>VLOOKUP(A36,'IN-10-14'!A37:D911,4,FALSE)</f>
        <v>827.71566885125844</v>
      </c>
      <c r="F36" s="69">
        <f>(D36*E36)</f>
        <v>2.8142332740942786</v>
      </c>
    </row>
    <row r="37" spans="1:7" ht="13.5" thickBot="1">
      <c r="D37" s="51"/>
      <c r="E37" s="51"/>
      <c r="F37" s="69"/>
    </row>
    <row r="38" spans="1:7" ht="13.5" thickTop="1">
      <c r="A38" s="75" t="s">
        <v>342</v>
      </c>
      <c r="B38" s="218" t="s">
        <v>1755</v>
      </c>
      <c r="C38" s="77" t="str">
        <f>Fecha</f>
        <v>Oct-14</v>
      </c>
      <c r="D38" s="48"/>
      <c r="E38" s="48"/>
      <c r="F38" s="219">
        <f>SUM(F40:F49)</f>
        <v>141.05137379994105</v>
      </c>
      <c r="G38" s="41"/>
    </row>
    <row r="39" spans="1:7" ht="13.5" thickBot="1">
      <c r="A39" s="7" t="s">
        <v>341</v>
      </c>
      <c r="B39" s="7" t="s">
        <v>1625</v>
      </c>
      <c r="C39" s="78" t="s">
        <v>340</v>
      </c>
      <c r="D39" s="49" t="s">
        <v>1760</v>
      </c>
      <c r="E39" s="50"/>
      <c r="F39" s="68"/>
      <c r="G39" s="42" t="s">
        <v>1876</v>
      </c>
    </row>
    <row r="40" spans="1:7" ht="13.5" thickTop="1">
      <c r="A40" s="82" t="s">
        <v>346</v>
      </c>
      <c r="D40" s="51"/>
      <c r="E40" s="51"/>
      <c r="F40" s="69"/>
    </row>
    <row r="41" spans="1:7">
      <c r="A41" s="3" t="s">
        <v>1577</v>
      </c>
      <c r="B41" s="4" t="str">
        <f>VLOOKUP(A41,Insumos,2)</f>
        <v>hierro mejorado de 10 mm.</v>
      </c>
      <c r="C41" s="6" t="str">
        <f>VLOOKUP(A41,Insumos,3)</f>
        <v>kg</v>
      </c>
      <c r="D41" s="51">
        <v>0.3</v>
      </c>
      <c r="E41" s="51">
        <f>VLOOKUP(A41,'IN-10-14'!A7:D7,4,FALSE)</f>
        <v>10.584654902836721</v>
      </c>
      <c r="F41" s="69">
        <f>(D41*E41)</f>
        <v>3.1753964708510165</v>
      </c>
    </row>
    <row r="42" spans="1:7">
      <c r="A42" s="3" t="s">
        <v>1585</v>
      </c>
      <c r="B42" s="4" t="str">
        <f>VLOOKUP(A42,Insumos,2)</f>
        <v>cal hidratada en bolsa</v>
      </c>
      <c r="C42" s="6" t="str">
        <f>VLOOKUP(A42,Insumos,3)</f>
        <v>kg</v>
      </c>
      <c r="D42" s="51">
        <v>2.08</v>
      </c>
      <c r="E42" s="51">
        <f>VLOOKUP(A42,'IN-10-14'!A43:D917,4,FALSE)</f>
        <v>1.9256198347107438</v>
      </c>
      <c r="F42" s="69">
        <f>(D42*E42)</f>
        <v>4.0052892561983473</v>
      </c>
    </row>
    <row r="43" spans="1:7">
      <c r="A43" s="3" t="s">
        <v>1578</v>
      </c>
      <c r="B43" s="4" t="str">
        <f>VLOOKUP(A43,Insumos,2)</f>
        <v>cemento Portland</v>
      </c>
      <c r="C43" s="6" t="str">
        <f>VLOOKUP(A43,Insumos,3)</f>
        <v>kg</v>
      </c>
      <c r="D43" s="51">
        <v>2.31</v>
      </c>
      <c r="E43" s="51">
        <f>VLOOKUP(A43,'IN-10-14'!A44:D918,4,FALSE)</f>
        <v>1.7372000000000001</v>
      </c>
      <c r="F43" s="69">
        <f>(D43*E43)</f>
        <v>4.0129320000000002</v>
      </c>
    </row>
    <row r="44" spans="1:7">
      <c r="A44" s="3" t="s">
        <v>1587</v>
      </c>
      <c r="B44" s="4" t="str">
        <f>VLOOKUP(A44,Insumos,2)</f>
        <v>ladrillo hueco 6T  8x18x30</v>
      </c>
      <c r="C44" s="6" t="str">
        <f>VLOOKUP(A44,Insumos,3)</f>
        <v>u</v>
      </c>
      <c r="D44" s="51">
        <v>17</v>
      </c>
      <c r="E44" s="51">
        <f>VLOOKUP(A44,'IN-10-14'!A45:D919,4,FALSE)</f>
        <v>3.3</v>
      </c>
      <c r="F44" s="69">
        <f>(D44*E44)</f>
        <v>56.099999999999994</v>
      </c>
    </row>
    <row r="45" spans="1:7">
      <c r="A45" s="3" t="s">
        <v>1580</v>
      </c>
      <c r="B45" s="4" t="str">
        <f>VLOOKUP(A45,Insumos,2)</f>
        <v>arena gruesa</v>
      </c>
      <c r="C45" s="6" t="str">
        <f>VLOOKUP(A45,Insumos,3)</f>
        <v>m3</v>
      </c>
      <c r="D45" s="51">
        <v>1.2999999999999999E-2</v>
      </c>
      <c r="E45" s="51">
        <f>VLOOKUP(A45,'IN-10-14'!A42:D42,4,FALSE)</f>
        <v>184.46464646464645</v>
      </c>
      <c r="F45" s="69">
        <f>(D45*E45)</f>
        <v>2.3980404040404038</v>
      </c>
    </row>
    <row r="46" spans="1:7">
      <c r="A46" s="82" t="s">
        <v>347</v>
      </c>
      <c r="D46" s="51"/>
      <c r="E46" s="51"/>
      <c r="F46" s="69"/>
    </row>
    <row r="47" spans="1:7">
      <c r="A47" s="3" t="s">
        <v>1575</v>
      </c>
      <c r="B47" s="4" t="str">
        <f>VLOOKUP(A47,Insumos,2)</f>
        <v>cuadrilla tipo UOCRA</v>
      </c>
      <c r="C47" s="6" t="str">
        <f>VLOOKUP(A47,Insumos,3)</f>
        <v>h</v>
      </c>
      <c r="D47" s="51">
        <v>1.1000000000000001</v>
      </c>
      <c r="E47" s="51">
        <f>VLOOKUP(A47,'IN-10-14'!A48:D922,4,FALSE)</f>
        <v>64.12</v>
      </c>
      <c r="F47" s="69">
        <f>(D47*E47)</f>
        <v>70.532000000000011</v>
      </c>
    </row>
    <row r="48" spans="1:7">
      <c r="A48" s="82" t="s">
        <v>348</v>
      </c>
      <c r="D48" s="51"/>
      <c r="E48" s="51"/>
      <c r="F48" s="69"/>
    </row>
    <row r="49" spans="1:7">
      <c r="A49" s="3" t="s">
        <v>1581</v>
      </c>
      <c r="B49" s="4" t="str">
        <f>VLOOKUP(A49,Insumos,2)</f>
        <v>canasta 2 (mixer 5m3)</v>
      </c>
      <c r="C49" s="6" t="str">
        <f>VLOOKUP(A49,Insumos,3)</f>
        <v>h</v>
      </c>
      <c r="D49" s="51">
        <v>1E-3</v>
      </c>
      <c r="E49" s="51">
        <f>VLOOKUP(A49,'IN-10-14'!A50:D924,4,FALSE)</f>
        <v>827.71566885125844</v>
      </c>
      <c r="F49" s="69">
        <f>(D49*E49)</f>
        <v>0.82771566885125847</v>
      </c>
    </row>
    <row r="50" spans="1:7" ht="13.5" thickBot="1">
      <c r="D50" s="51"/>
      <c r="E50" s="51"/>
      <c r="F50" s="69"/>
    </row>
    <row r="51" spans="1:7" ht="13.5" thickTop="1">
      <c r="A51" s="75" t="s">
        <v>342</v>
      </c>
      <c r="B51" s="218" t="s">
        <v>1764</v>
      </c>
      <c r="C51" s="77" t="str">
        <f>Fecha</f>
        <v>Oct-14</v>
      </c>
      <c r="D51" s="48"/>
      <c r="E51" s="48"/>
      <c r="F51" s="219">
        <f>SUM(F53:F61)</f>
        <v>174.17620310841923</v>
      </c>
      <c r="G51" s="41"/>
    </row>
    <row r="52" spans="1:7" ht="13.5" thickBot="1">
      <c r="A52" s="7" t="s">
        <v>341</v>
      </c>
      <c r="B52" s="7" t="s">
        <v>1625</v>
      </c>
      <c r="C52" s="78" t="s">
        <v>340</v>
      </c>
      <c r="D52" s="49" t="s">
        <v>1761</v>
      </c>
      <c r="E52" s="50"/>
      <c r="F52" s="68"/>
      <c r="G52" s="42" t="s">
        <v>1876</v>
      </c>
    </row>
    <row r="53" spans="1:7" ht="13.5" thickTop="1">
      <c r="A53" s="82" t="s">
        <v>346</v>
      </c>
      <c r="D53" s="51"/>
      <c r="E53" s="51"/>
      <c r="F53" s="69"/>
    </row>
    <row r="54" spans="1:7">
      <c r="A54" s="3" t="s">
        <v>1585</v>
      </c>
      <c r="B54" s="4" t="str">
        <f>VLOOKUP(A54,Insumos,2)</f>
        <v>cal hidratada en bolsa</v>
      </c>
      <c r="C54" s="6" t="str">
        <f>VLOOKUP(A54,Insumos,3)</f>
        <v>kg</v>
      </c>
      <c r="D54" s="51">
        <v>2.89</v>
      </c>
      <c r="E54" s="51">
        <f>VLOOKUP(A54,'IN-10-14'!A55:D929,4,FALSE)</f>
        <v>1.9256198347107438</v>
      </c>
      <c r="F54" s="69">
        <f>(D54*E54)</f>
        <v>5.56504132231405</v>
      </c>
    </row>
    <row r="55" spans="1:7">
      <c r="A55" s="3" t="s">
        <v>1578</v>
      </c>
      <c r="B55" s="4" t="str">
        <f>VLOOKUP(A55,Insumos,2)</f>
        <v>cemento Portland</v>
      </c>
      <c r="C55" s="6" t="str">
        <f>VLOOKUP(A55,Insumos,3)</f>
        <v>kg</v>
      </c>
      <c r="D55" s="51">
        <v>3.3</v>
      </c>
      <c r="E55" s="51">
        <f>VLOOKUP(A55,'IN-10-14'!A56:D930,4,FALSE)</f>
        <v>1.7372000000000001</v>
      </c>
      <c r="F55" s="69">
        <f>(D55*E55)</f>
        <v>5.7327599999999999</v>
      </c>
    </row>
    <row r="56" spans="1:7">
      <c r="A56" s="3" t="s">
        <v>61</v>
      </c>
      <c r="B56" s="4" t="str">
        <f>VLOOKUP(A56,Insumos,2)</f>
        <v>ladrillo hueco 8T  12x18x30</v>
      </c>
      <c r="C56" s="6" t="str">
        <f>VLOOKUP(A56,Insumos,3)</f>
        <v>u</v>
      </c>
      <c r="D56" s="51">
        <v>17</v>
      </c>
      <c r="E56" s="51">
        <f>VLOOKUP(A56,'IN-10-14'!A57:D931,4,FALSE)</f>
        <v>4.21</v>
      </c>
      <c r="F56" s="69">
        <f>(D56*E56)</f>
        <v>71.569999999999993</v>
      </c>
    </row>
    <row r="57" spans="1:7">
      <c r="A57" s="3" t="s">
        <v>1580</v>
      </c>
      <c r="B57" s="4" t="str">
        <f>VLOOKUP(A57,Insumos,2)</f>
        <v>arena gruesa</v>
      </c>
      <c r="C57" s="6" t="str">
        <f>VLOOKUP(A57,Insumos,3)</f>
        <v>m3</v>
      </c>
      <c r="D57" s="51">
        <v>1.9E-2</v>
      </c>
      <c r="E57" s="51">
        <f>VLOOKUP(A57,'IN-10-14'!A42:D42,4,FALSE)</f>
        <v>184.46464646464645</v>
      </c>
      <c r="F57" s="69">
        <f>(D57*E57)</f>
        <v>3.5048282828282824</v>
      </c>
    </row>
    <row r="58" spans="1:7">
      <c r="A58" s="82" t="s">
        <v>347</v>
      </c>
      <c r="D58" s="51"/>
      <c r="E58" s="51"/>
      <c r="F58" s="69"/>
    </row>
    <row r="59" spans="1:7">
      <c r="A59" s="3" t="s">
        <v>1575</v>
      </c>
      <c r="B59" s="4" t="str">
        <f>VLOOKUP(A59,Insumos,2)</f>
        <v>cuadrilla tipo UOCRA</v>
      </c>
      <c r="C59" s="6" t="str">
        <f>VLOOKUP(A59,Insumos,3)</f>
        <v>h</v>
      </c>
      <c r="D59" s="51">
        <v>1.35</v>
      </c>
      <c r="E59" s="51">
        <f>VLOOKUP(A59,'IN-10-14'!A60:D934,4,FALSE)</f>
        <v>64.12</v>
      </c>
      <c r="F59" s="69">
        <f>(D59*E59)</f>
        <v>86.562000000000012</v>
      </c>
    </row>
    <row r="60" spans="1:7">
      <c r="A60" s="82" t="s">
        <v>348</v>
      </c>
      <c r="D60" s="51"/>
      <c r="E60" s="51"/>
      <c r="F60" s="69"/>
    </row>
    <row r="61" spans="1:7">
      <c r="A61" s="3" t="s">
        <v>1581</v>
      </c>
      <c r="B61" s="4" t="str">
        <f>VLOOKUP(A61,Insumos,2)</f>
        <v>canasta 2 (mixer 5m3)</v>
      </c>
      <c r="C61" s="6" t="str">
        <f>VLOOKUP(A61,Insumos,3)</f>
        <v>h</v>
      </c>
      <c r="D61" s="51">
        <v>1.5E-3</v>
      </c>
      <c r="E61" s="51">
        <f>VLOOKUP(A61,'IN-10-14'!A62:D936,4,FALSE)</f>
        <v>827.71566885125844</v>
      </c>
      <c r="F61" s="69">
        <f>(D61*E61)</f>
        <v>1.2415735032768878</v>
      </c>
    </row>
    <row r="62" spans="1:7" ht="13.5" thickBot="1">
      <c r="D62" s="51"/>
      <c r="E62" s="51"/>
      <c r="F62" s="69"/>
    </row>
    <row r="63" spans="1:7" ht="13.5" thickTop="1">
      <c r="A63" s="75" t="s">
        <v>342</v>
      </c>
      <c r="B63" s="218" t="s">
        <v>1765</v>
      </c>
      <c r="C63" s="77" t="str">
        <f>Fecha</f>
        <v>Oct-14</v>
      </c>
      <c r="D63" s="48"/>
      <c r="E63" s="48"/>
      <c r="F63" s="219">
        <f>SUM(F65:F73)</f>
        <v>211.80286009803308</v>
      </c>
      <c r="G63" s="41"/>
    </row>
    <row r="64" spans="1:7" ht="13.5" thickBot="1">
      <c r="A64" s="7" t="s">
        <v>341</v>
      </c>
      <c r="B64" s="7" t="s">
        <v>1625</v>
      </c>
      <c r="C64" s="78" t="s">
        <v>340</v>
      </c>
      <c r="D64" s="49" t="s">
        <v>1762</v>
      </c>
      <c r="E64" s="50"/>
      <c r="F64" s="68"/>
      <c r="G64" s="42" t="s">
        <v>1876</v>
      </c>
    </row>
    <row r="65" spans="1:7" ht="13.5" thickTop="1">
      <c r="A65" s="82" t="s">
        <v>346</v>
      </c>
      <c r="D65" s="51"/>
      <c r="E65" s="51"/>
      <c r="F65" s="69"/>
    </row>
    <row r="66" spans="1:7">
      <c r="A66" s="3" t="s">
        <v>1585</v>
      </c>
      <c r="B66" s="4" t="str">
        <f>VLOOKUP(A66,Insumos,2)</f>
        <v>cal hidratada en bolsa</v>
      </c>
      <c r="C66" s="6" t="str">
        <f>VLOOKUP(A66,Insumos,3)</f>
        <v>kg</v>
      </c>
      <c r="D66" s="51">
        <v>4.2</v>
      </c>
      <c r="E66" s="51">
        <f>VLOOKUP(A66,'IN-10-14'!A67:D941,4,FALSE)</f>
        <v>1.9256198347107438</v>
      </c>
      <c r="F66" s="69">
        <f>(D66*E66)</f>
        <v>8.0876033057851249</v>
      </c>
    </row>
    <row r="67" spans="1:7">
      <c r="A67" s="3" t="s">
        <v>1578</v>
      </c>
      <c r="B67" s="4" t="str">
        <f>VLOOKUP(A67,Insumos,2)</f>
        <v>cemento Portland</v>
      </c>
      <c r="C67" s="6" t="str">
        <f>VLOOKUP(A67,Insumos,3)</f>
        <v>kg</v>
      </c>
      <c r="D67" s="51">
        <v>2.4</v>
      </c>
      <c r="E67" s="51">
        <f>VLOOKUP(A67,'IN-10-14'!A68:D942,4,FALSE)</f>
        <v>1.7372000000000001</v>
      </c>
      <c r="F67" s="69">
        <f>(D67*E67)</f>
        <v>4.1692799999999997</v>
      </c>
    </row>
    <row r="68" spans="1:7">
      <c r="A68" s="3" t="s">
        <v>1763</v>
      </c>
      <c r="B68" s="4" t="str">
        <f>VLOOKUP(A68,Insumos,2)</f>
        <v>ladrillo hueco 9T 18x18x30</v>
      </c>
      <c r="C68" s="6" t="str">
        <f>VLOOKUP(A68,Insumos,3)</f>
        <v>u</v>
      </c>
      <c r="D68" s="51">
        <v>17</v>
      </c>
      <c r="E68" s="51">
        <f>VLOOKUP(A68,'IN-10-14'!A69:D943,4,FALSE)</f>
        <v>5.69</v>
      </c>
      <c r="F68" s="69">
        <f>(D68*E68)</f>
        <v>96.73</v>
      </c>
    </row>
    <row r="69" spans="1:7">
      <c r="A69" s="3" t="s">
        <v>1580</v>
      </c>
      <c r="B69" s="4" t="str">
        <f>VLOOKUP(A69,Insumos,2)</f>
        <v>arena gruesa</v>
      </c>
      <c r="C69" s="6" t="str">
        <f>VLOOKUP(A69,Insumos,3)</f>
        <v>m3</v>
      </c>
      <c r="D69" s="51">
        <v>2.7E-2</v>
      </c>
      <c r="E69" s="51">
        <f>VLOOKUP(A69,'IN-10-14'!A42:D42,4,FALSE)</f>
        <v>184.46464646464645</v>
      </c>
      <c r="F69" s="69">
        <f>(D69*E69)</f>
        <v>4.9805454545454539</v>
      </c>
    </row>
    <row r="70" spans="1:7">
      <c r="A70" s="82" t="s">
        <v>347</v>
      </c>
      <c r="D70" s="51"/>
      <c r="E70" s="51"/>
      <c r="F70" s="69"/>
    </row>
    <row r="71" spans="1:7">
      <c r="A71" s="3" t="s">
        <v>1575</v>
      </c>
      <c r="B71" s="4" t="str">
        <f>VLOOKUP(A71,Insumos,2)</f>
        <v>cuadrilla tipo UOCRA</v>
      </c>
      <c r="C71" s="6" t="str">
        <f>VLOOKUP(A71,Insumos,3)</f>
        <v>h</v>
      </c>
      <c r="D71" s="51">
        <v>1.5</v>
      </c>
      <c r="E71" s="51">
        <f>VLOOKUP(A71,'IN-10-14'!A72:D946,4,FALSE)</f>
        <v>64.12</v>
      </c>
      <c r="F71" s="69">
        <f>(D71*E71)</f>
        <v>96.18</v>
      </c>
    </row>
    <row r="72" spans="1:7">
      <c r="A72" s="82" t="s">
        <v>348</v>
      </c>
      <c r="D72" s="51"/>
      <c r="E72" s="51"/>
      <c r="F72" s="69"/>
    </row>
    <row r="73" spans="1:7">
      <c r="A73" s="3" t="s">
        <v>1581</v>
      </c>
      <c r="B73" s="4" t="str">
        <f>VLOOKUP(A73,Insumos,2)</f>
        <v>canasta 2 (mixer 5m3)</v>
      </c>
      <c r="C73" s="6" t="str">
        <f>VLOOKUP(A73,Insumos,3)</f>
        <v>h</v>
      </c>
      <c r="D73" s="51">
        <v>2E-3</v>
      </c>
      <c r="E73" s="51">
        <f>VLOOKUP(A73,'IN-10-14'!A74:D948,4,FALSE)</f>
        <v>827.71566885125844</v>
      </c>
      <c r="F73" s="69">
        <f>(D73*E73)</f>
        <v>1.6554313377025169</v>
      </c>
    </row>
    <row r="74" spans="1:7" ht="13.5" thickBot="1">
      <c r="A74" s="3"/>
      <c r="B74" s="4"/>
      <c r="C74" s="6"/>
      <c r="D74" s="51"/>
      <c r="E74" s="51"/>
      <c r="F74" s="69"/>
    </row>
    <row r="75" spans="1:7" ht="13.5" thickTop="1">
      <c r="A75" s="75" t="s">
        <v>342</v>
      </c>
      <c r="B75" s="218" t="s">
        <v>1809</v>
      </c>
      <c r="C75" s="77" t="str">
        <f>Fecha</f>
        <v>Oct-14</v>
      </c>
      <c r="D75" s="48"/>
      <c r="E75" s="48"/>
      <c r="F75" s="219">
        <f>SUM(F77:F85)</f>
        <v>207.83286009803311</v>
      </c>
      <c r="G75" s="41"/>
    </row>
    <row r="76" spans="1:7" ht="13.5" thickBot="1">
      <c r="A76" s="7" t="s">
        <v>341</v>
      </c>
      <c r="B76" s="7" t="s">
        <v>1625</v>
      </c>
      <c r="C76" s="78" t="s">
        <v>340</v>
      </c>
      <c r="D76" s="49" t="s">
        <v>1857</v>
      </c>
      <c r="E76" s="50"/>
      <c r="F76" s="68"/>
      <c r="G76" s="42" t="s">
        <v>1876</v>
      </c>
    </row>
    <row r="77" spans="1:7" ht="13.5" thickTop="1">
      <c r="A77" s="82" t="s">
        <v>346</v>
      </c>
      <c r="D77" s="51"/>
      <c r="E77" s="51"/>
      <c r="F77" s="69"/>
    </row>
    <row r="78" spans="1:7">
      <c r="A78" s="3" t="s">
        <v>1585</v>
      </c>
      <c r="B78" s="4" t="str">
        <f>VLOOKUP(A78,Insumos,2)</f>
        <v>cal hidratada en bolsa</v>
      </c>
      <c r="C78" s="6" t="str">
        <f>VLOOKUP(A78,Insumos,3)</f>
        <v>kg</v>
      </c>
      <c r="D78" s="51">
        <v>4.2</v>
      </c>
      <c r="E78" s="51">
        <f>VLOOKUP(A78,'IN-10-14'!A79:D953,4,FALSE)</f>
        <v>1.9256198347107438</v>
      </c>
      <c r="F78" s="69">
        <f>(D78*E78)</f>
        <v>8.0876033057851249</v>
      </c>
    </row>
    <row r="79" spans="1:7">
      <c r="A79" s="3" t="s">
        <v>1578</v>
      </c>
      <c r="B79" s="4" t="str">
        <f>VLOOKUP(A79,Insumos,2)</f>
        <v>cemento Portland</v>
      </c>
      <c r="C79" s="6" t="str">
        <f>VLOOKUP(A79,Insumos,3)</f>
        <v>kg</v>
      </c>
      <c r="D79" s="51">
        <v>2.4</v>
      </c>
      <c r="E79" s="51">
        <f>VLOOKUP(A79,'IN-10-14'!A80:D954,4,FALSE)</f>
        <v>1.7372000000000001</v>
      </c>
      <c r="F79" s="69">
        <f>(D79*E79)</f>
        <v>4.1692799999999997</v>
      </c>
    </row>
    <row r="80" spans="1:7">
      <c r="A80" s="3" t="s">
        <v>1810</v>
      </c>
      <c r="B80" s="4" t="str">
        <f>VLOOKUP(A80,Insumos,2)</f>
        <v>ladrillo hueco portante 18x 18x30</v>
      </c>
      <c r="C80" s="6" t="str">
        <f>VLOOKUP(A80,Insumos,3)</f>
        <v>u</v>
      </c>
      <c r="D80" s="51">
        <v>12</v>
      </c>
      <c r="E80" s="51">
        <f>VLOOKUP(A80,'IN-10-14'!A81:D955,4,FALSE)</f>
        <v>7.73</v>
      </c>
      <c r="F80" s="69">
        <f>(D80*E80)</f>
        <v>92.76</v>
      </c>
    </row>
    <row r="81" spans="1:7">
      <c r="A81" s="3" t="s">
        <v>1580</v>
      </c>
      <c r="B81" s="4" t="str">
        <f>VLOOKUP(A81,Insumos,2)</f>
        <v>arena gruesa</v>
      </c>
      <c r="C81" s="6" t="str">
        <f>VLOOKUP(A81,Insumos,3)</f>
        <v>m3</v>
      </c>
      <c r="D81" s="51">
        <v>2.7E-2</v>
      </c>
      <c r="E81" s="51">
        <f>VLOOKUP(A81,'IN-10-14'!A42:D42,4,FALSE)</f>
        <v>184.46464646464645</v>
      </c>
      <c r="F81" s="69">
        <f>(D81*E81)</f>
        <v>4.9805454545454539</v>
      </c>
    </row>
    <row r="82" spans="1:7">
      <c r="A82" s="82" t="s">
        <v>347</v>
      </c>
      <c r="D82" s="51"/>
      <c r="E82" s="51"/>
      <c r="F82" s="69"/>
    </row>
    <row r="83" spans="1:7">
      <c r="A83" s="3" t="s">
        <v>1575</v>
      </c>
      <c r="B83" s="4" t="str">
        <f>VLOOKUP(A83,Insumos,2)</f>
        <v>cuadrilla tipo UOCRA</v>
      </c>
      <c r="C83" s="6" t="str">
        <f>VLOOKUP(A83,Insumos,3)</f>
        <v>h</v>
      </c>
      <c r="D83" s="51">
        <v>1.5</v>
      </c>
      <c r="E83" s="51">
        <f>VLOOKUP(A83,'IN-10-14'!A84:D958,4,FALSE)</f>
        <v>64.12</v>
      </c>
      <c r="F83" s="69">
        <f>(D83*E83)</f>
        <v>96.18</v>
      </c>
    </row>
    <row r="84" spans="1:7">
      <c r="A84" s="82" t="s">
        <v>348</v>
      </c>
      <c r="D84" s="51"/>
      <c r="E84" s="51"/>
      <c r="F84" s="69"/>
    </row>
    <row r="85" spans="1:7">
      <c r="A85" s="3" t="s">
        <v>1581</v>
      </c>
      <c r="B85" s="4" t="str">
        <f>VLOOKUP(A85,Insumos,2)</f>
        <v>canasta 2 (mixer 5m3)</v>
      </c>
      <c r="C85" s="6" t="str">
        <f>VLOOKUP(A85,Insumos,3)</f>
        <v>h</v>
      </c>
      <c r="D85" s="51">
        <v>2E-3</v>
      </c>
      <c r="E85" s="51">
        <f>VLOOKUP(A85,'IN-10-14'!A86:D960,4,FALSE)</f>
        <v>827.71566885125844</v>
      </c>
      <c r="F85" s="69">
        <f>(D85*E85)</f>
        <v>1.6554313377025169</v>
      </c>
    </row>
    <row r="86" spans="1:7" ht="13.5" thickBot="1">
      <c r="A86" s="3"/>
      <c r="B86" s="4"/>
      <c r="C86" s="6"/>
      <c r="D86" s="51"/>
      <c r="E86" s="51"/>
      <c r="F86" s="69"/>
    </row>
    <row r="87" spans="1:7" ht="13.5" thickTop="1">
      <c r="A87" s="75" t="s">
        <v>342</v>
      </c>
      <c r="B87" s="218" t="s">
        <v>1792</v>
      </c>
      <c r="C87" s="77" t="str">
        <f>Fecha</f>
        <v>Oct-14</v>
      </c>
      <c r="D87" s="48"/>
      <c r="E87" s="48"/>
      <c r="F87" s="219">
        <f>SUM(F89:F97)</f>
        <v>288.44348956504757</v>
      </c>
      <c r="G87" s="41"/>
    </row>
    <row r="88" spans="1:7" ht="13.5" thickBot="1">
      <c r="A88" s="7" t="s">
        <v>341</v>
      </c>
      <c r="B88" s="7" t="s">
        <v>1625</v>
      </c>
      <c r="C88" s="78" t="s">
        <v>340</v>
      </c>
      <c r="D88" s="49" t="s">
        <v>1788</v>
      </c>
      <c r="E88" s="50"/>
      <c r="F88" s="68"/>
      <c r="G88" s="42" t="s">
        <v>1876</v>
      </c>
    </row>
    <row r="89" spans="1:7" ht="13.5" thickTop="1">
      <c r="A89" s="82" t="s">
        <v>346</v>
      </c>
      <c r="D89" s="51"/>
      <c r="E89" s="51"/>
      <c r="F89" s="69"/>
    </row>
    <row r="90" spans="1:7">
      <c r="A90" s="3" t="s">
        <v>1585</v>
      </c>
      <c r="B90" s="4" t="str">
        <f>VLOOKUP(A90,Insumos,2)</f>
        <v>cal hidratada en bolsa</v>
      </c>
      <c r="C90" s="6" t="str">
        <f>VLOOKUP(A90,Insumos,3)</f>
        <v>kg</v>
      </c>
      <c r="D90" s="51">
        <v>2.0150000000000001</v>
      </c>
      <c r="E90" s="51">
        <f>VLOOKUP(A90,'IN-10-14'!A91:D965,4,FALSE)</f>
        <v>1.9256198347107438</v>
      </c>
      <c r="F90" s="69">
        <f>(D90*E90)</f>
        <v>3.8801239669421492</v>
      </c>
    </row>
    <row r="91" spans="1:7">
      <c r="A91" s="3" t="s">
        <v>1578</v>
      </c>
      <c r="B91" s="4" t="str">
        <f>VLOOKUP(A91,Insumos,2)</f>
        <v>cemento Portland</v>
      </c>
      <c r="C91" s="6" t="str">
        <f>VLOOKUP(A91,Insumos,3)</f>
        <v>kg</v>
      </c>
      <c r="D91" s="51">
        <v>2.3180000000000001</v>
      </c>
      <c r="E91" s="51">
        <f>VLOOKUP(A91,'IN-10-14'!A92:D966,4,FALSE)</f>
        <v>1.7372000000000001</v>
      </c>
      <c r="F91" s="69">
        <f>(D91*E91)</f>
        <v>4.0268296000000001</v>
      </c>
    </row>
    <row r="92" spans="1:7">
      <c r="A92" s="3" t="s">
        <v>1588</v>
      </c>
      <c r="B92" s="4" t="str">
        <f>VLOOKUP(A92,Insumos,2)</f>
        <v>bloque de H° de 19 x 19 x 39</v>
      </c>
      <c r="C92" s="6" t="str">
        <f>VLOOKUP(A92,Insumos,3)</f>
        <v>u</v>
      </c>
      <c r="D92" s="51">
        <v>13</v>
      </c>
      <c r="E92" s="51">
        <f>VLOOKUP(A92,'IN-10-14'!A54:D54,4,FALSE)</f>
        <v>12.72</v>
      </c>
      <c r="F92" s="69">
        <f>(D92*E92)</f>
        <v>165.36</v>
      </c>
    </row>
    <row r="93" spans="1:7">
      <c r="A93" s="3" t="s">
        <v>1580</v>
      </c>
      <c r="B93" s="4" t="str">
        <f>VLOOKUP(A93,Insumos,2)</f>
        <v>arena gruesa</v>
      </c>
      <c r="C93" s="6" t="str">
        <f>VLOOKUP(A93,Insumos,3)</f>
        <v>m3</v>
      </c>
      <c r="D93" s="51">
        <v>1.2999999999999999E-2</v>
      </c>
      <c r="E93" s="51">
        <f>VLOOKUP(A93,'IN-10-14'!A42:D42,4,FALSE)</f>
        <v>184.46464646464645</v>
      </c>
      <c r="F93" s="69">
        <f>(D93*E93)</f>
        <v>2.3980404040404038</v>
      </c>
    </row>
    <row r="94" spans="1:7">
      <c r="A94" s="82" t="s">
        <v>347</v>
      </c>
      <c r="D94" s="51"/>
      <c r="E94" s="51"/>
      <c r="F94" s="69"/>
    </row>
    <row r="95" spans="1:7">
      <c r="A95" s="3" t="s">
        <v>1575</v>
      </c>
      <c r="B95" s="4" t="str">
        <f>VLOOKUP(A95,Insumos,2)</f>
        <v>cuadrilla tipo UOCRA</v>
      </c>
      <c r="C95" s="6" t="str">
        <f>VLOOKUP(A95,Insumos,3)</f>
        <v>h</v>
      </c>
      <c r="D95" s="51">
        <v>1.4</v>
      </c>
      <c r="E95" s="51">
        <f>VLOOKUP(A95,'IN-10-14'!A96:D970,4,FALSE)</f>
        <v>64.12</v>
      </c>
      <c r="F95" s="69">
        <f>(D95*E95)</f>
        <v>89.768000000000001</v>
      </c>
    </row>
    <row r="96" spans="1:7">
      <c r="A96" s="82" t="s">
        <v>348</v>
      </c>
      <c r="D96" s="51"/>
      <c r="E96" s="51"/>
      <c r="F96" s="69"/>
    </row>
    <row r="97" spans="1:7">
      <c r="A97" s="3" t="s">
        <v>1581</v>
      </c>
      <c r="B97" s="4" t="str">
        <f>VLOOKUP(A97,Insumos,2)</f>
        <v>canasta 2 (mixer 5m3)</v>
      </c>
      <c r="C97" s="6" t="str">
        <f>VLOOKUP(A97,Insumos,3)</f>
        <v>h</v>
      </c>
      <c r="D97" s="51">
        <v>2.7799999999999998E-2</v>
      </c>
      <c r="E97" s="51">
        <f>VLOOKUP(A97,'IN-10-14'!A98:D972,4,FALSE)</f>
        <v>827.71566885125844</v>
      </c>
      <c r="F97" s="69">
        <f>(D97*E97)</f>
        <v>23.010495594064984</v>
      </c>
    </row>
    <row r="98" spans="1:7" ht="13.5" thickBot="1"/>
    <row r="99" spans="1:7" ht="13.5" thickTop="1">
      <c r="A99" s="75" t="s">
        <v>342</v>
      </c>
      <c r="B99" s="218" t="s">
        <v>373</v>
      </c>
      <c r="C99" s="77" t="str">
        <f>Fecha</f>
        <v>Oct-14</v>
      </c>
      <c r="D99" s="48" t="s">
        <v>1837</v>
      </c>
      <c r="E99" s="48"/>
      <c r="F99" s="219">
        <f>SUM(F101:F110)</f>
        <v>2206.2760888996377</v>
      </c>
      <c r="G99" s="41"/>
    </row>
    <row r="100" spans="1:7" ht="13.5" thickBot="1">
      <c r="A100" s="7" t="s">
        <v>341</v>
      </c>
      <c r="B100" s="7" t="s">
        <v>1625</v>
      </c>
      <c r="C100" s="78" t="s">
        <v>340</v>
      </c>
      <c r="D100" s="49" t="s">
        <v>386</v>
      </c>
      <c r="E100" s="50"/>
      <c r="F100" s="68"/>
      <c r="G100" s="42" t="s">
        <v>1922</v>
      </c>
    </row>
    <row r="101" spans="1:7" ht="13.5" thickTop="1">
      <c r="A101" s="82" t="s">
        <v>346</v>
      </c>
      <c r="D101" s="51"/>
      <c r="E101" s="51"/>
      <c r="F101" s="69"/>
    </row>
    <row r="102" spans="1:7">
      <c r="A102" s="3" t="s">
        <v>1585</v>
      </c>
      <c r="B102" s="4" t="str">
        <f>VLOOKUP(A102,Insumos,2)</f>
        <v>cal hidratada en bolsa</v>
      </c>
      <c r="C102" s="6" t="str">
        <f>VLOOKUP(A102,Insumos,3)</f>
        <v>kg</v>
      </c>
      <c r="D102" s="51">
        <v>57.6</v>
      </c>
      <c r="E102" s="51">
        <f>VLOOKUP(A102,'IN-10-14'!A103:D977,4,FALSE)</f>
        <v>1.9256198347107438</v>
      </c>
      <c r="F102" s="69">
        <f>(D102*E102)</f>
        <v>110.91570247933885</v>
      </c>
    </row>
    <row r="103" spans="1:7">
      <c r="A103" s="3" t="s">
        <v>1578</v>
      </c>
      <c r="B103" s="4" t="str">
        <f>VLOOKUP(A103,Insumos,2)</f>
        <v>cemento Portland</v>
      </c>
      <c r="C103" s="6" t="str">
        <f>VLOOKUP(A103,Insumos,3)</f>
        <v>kg</v>
      </c>
      <c r="D103" s="51">
        <f>34.2+25</f>
        <v>59.2</v>
      </c>
      <c r="E103" s="51">
        <f>VLOOKUP(A103,'IN-10-14'!A104:D978,4,FALSE)</f>
        <v>1.7372000000000001</v>
      </c>
      <c r="F103" s="69">
        <f>(D103*E103)</f>
        <v>102.84224</v>
      </c>
    </row>
    <row r="104" spans="1:7">
      <c r="A104" s="3" t="s">
        <v>1577</v>
      </c>
      <c r="B104" s="4" t="str">
        <f>VLOOKUP(A104,Insumos,2)</f>
        <v>hierro mejorado de 10 mm.</v>
      </c>
      <c r="C104" s="6" t="str">
        <f>VLOOKUP(A104,Insumos,3)</f>
        <v>kg</v>
      </c>
      <c r="D104" s="51">
        <v>2.2000000000000002</v>
      </c>
      <c r="E104" s="51">
        <f>VLOOKUP(A104,'IN-10-14'!A7:D7,4,FALSE)</f>
        <v>10.584654902836721</v>
      </c>
      <c r="F104" s="69">
        <f>(D104*E104)</f>
        <v>23.286240786240789</v>
      </c>
    </row>
    <row r="105" spans="1:7">
      <c r="A105" s="3" t="s">
        <v>1586</v>
      </c>
      <c r="B105" s="4" t="str">
        <f>VLOOKUP(A105,Insumos,2)</f>
        <v>ladrillo común de 1ra.calidad</v>
      </c>
      <c r="C105" s="6" t="str">
        <f>VLOOKUP(A105,Insumos,3)</f>
        <v>mil</v>
      </c>
      <c r="D105" s="51">
        <v>0.4</v>
      </c>
      <c r="E105" s="51">
        <f>VLOOKUP(A105,'IN-10-14'!A106:D980,4,FALSE)</f>
        <v>2231.404958677686</v>
      </c>
      <c r="F105" s="69">
        <f>(D105*E105)</f>
        <v>892.56198347107443</v>
      </c>
    </row>
    <row r="106" spans="1:7">
      <c r="A106" s="3" t="s">
        <v>1580</v>
      </c>
      <c r="B106" s="4" t="str">
        <f>VLOOKUP(A106,Insumos,2)</f>
        <v>arena gruesa</v>
      </c>
      <c r="C106" s="6" t="str">
        <f>VLOOKUP(A106,Insumos,3)</f>
        <v>m3</v>
      </c>
      <c r="D106" s="51">
        <v>0.38500000000000001</v>
      </c>
      <c r="E106" s="51">
        <f>VLOOKUP(A106,'IN-10-14'!A42:D42,4,FALSE)</f>
        <v>184.46464646464645</v>
      </c>
      <c r="F106" s="69">
        <f>(D106*E106)</f>
        <v>71.018888888888881</v>
      </c>
    </row>
    <row r="107" spans="1:7">
      <c r="A107" s="82" t="s">
        <v>347</v>
      </c>
      <c r="D107" s="51"/>
      <c r="E107" s="51"/>
      <c r="F107" s="69"/>
    </row>
    <row r="108" spans="1:7">
      <c r="A108" s="3" t="s">
        <v>1575</v>
      </c>
      <c r="B108" s="4" t="str">
        <f>VLOOKUP(A108,Insumos,2)</f>
        <v>cuadrilla tipo UOCRA</v>
      </c>
      <c r="C108" s="6" t="str">
        <f>VLOOKUP(A108,Insumos,3)</f>
        <v>h</v>
      </c>
      <c r="D108" s="51">
        <f>13.64+2</f>
        <v>15.64</v>
      </c>
      <c r="E108" s="51">
        <f>VLOOKUP(A108,'IN-10-14'!A109:D983,4,FALSE)</f>
        <v>64.12</v>
      </c>
      <c r="F108" s="69">
        <f>(D108*E108)</f>
        <v>1002.8368000000002</v>
      </c>
    </row>
    <row r="109" spans="1:7">
      <c r="A109" s="82" t="s">
        <v>348</v>
      </c>
      <c r="D109" s="51"/>
      <c r="E109" s="51"/>
      <c r="F109" s="69"/>
    </row>
    <row r="110" spans="1:7">
      <c r="A110" s="3" t="s">
        <v>1581</v>
      </c>
      <c r="B110" s="4" t="str">
        <f>VLOOKUP(A110,Insumos,2)</f>
        <v>canasta 2 (mixer 5m3)</v>
      </c>
      <c r="C110" s="6" t="str">
        <f>VLOOKUP(A110,Insumos,3)</f>
        <v>h</v>
      </c>
      <c r="D110" s="51">
        <v>3.3999999999999998E-3</v>
      </c>
      <c r="E110" s="51">
        <f>VLOOKUP(A110,'IN-10-14'!A110:D110,4,FALSE)</f>
        <v>827.71566885125844</v>
      </c>
      <c r="F110" s="69">
        <f>(D110*E110)</f>
        <v>2.8142332740942786</v>
      </c>
    </row>
    <row r="111" spans="1:7" ht="13.5" thickBot="1"/>
    <row r="112" spans="1:7" ht="13.5" thickTop="1">
      <c r="A112" s="75" t="s">
        <v>342</v>
      </c>
      <c r="B112" s="218" t="s">
        <v>387</v>
      </c>
      <c r="C112" s="77" t="str">
        <f>Fecha</f>
        <v>Oct-14</v>
      </c>
      <c r="D112" s="48" t="s">
        <v>1837</v>
      </c>
      <c r="E112" s="48"/>
      <c r="F112" s="219">
        <f>SUM(F114:F125)</f>
        <v>2227.4496938583152</v>
      </c>
      <c r="G112" s="41"/>
    </row>
    <row r="113" spans="1:7" ht="13.5" thickBot="1">
      <c r="A113" s="7" t="s">
        <v>341</v>
      </c>
      <c r="B113" s="7" t="s">
        <v>1625</v>
      </c>
      <c r="C113" s="78" t="s">
        <v>340</v>
      </c>
      <c r="D113" s="49" t="s">
        <v>385</v>
      </c>
      <c r="E113" s="50"/>
      <c r="F113" s="68"/>
      <c r="G113" s="42" t="s">
        <v>1922</v>
      </c>
    </row>
    <row r="114" spans="1:7" ht="13.5" thickTop="1">
      <c r="A114" s="82" t="s">
        <v>346</v>
      </c>
      <c r="D114" s="51"/>
      <c r="E114" s="51"/>
      <c r="F114" s="69"/>
    </row>
    <row r="115" spans="1:7">
      <c r="A115" s="2" t="s">
        <v>1584</v>
      </c>
      <c r="B115" s="4" t="str">
        <f t="shared" ref="B115:B121" si="0">VLOOKUP(A115,Insumos,2)</f>
        <v>poliestireno expandido 20 mm</v>
      </c>
      <c r="C115" s="6" t="str">
        <f t="shared" ref="C115:C121" si="1">VLOOKUP(A115,Insumos,3)</f>
        <v>m2</v>
      </c>
      <c r="D115" s="51">
        <f>0.434*1.3</f>
        <v>0.56420000000000003</v>
      </c>
      <c r="E115" s="51">
        <f>VLOOKUP(A115,'IN-10-14'!A39:D39,4,FALSE)</f>
        <v>22.942148760330578</v>
      </c>
      <c r="F115" s="69">
        <f t="shared" ref="F115:F121" si="2">(D115*E115)</f>
        <v>12.943960330578513</v>
      </c>
    </row>
    <row r="116" spans="1:7">
      <c r="A116" s="2" t="s">
        <v>1596</v>
      </c>
      <c r="B116" s="4" t="str">
        <f t="shared" si="0"/>
        <v>chapa H°G° N°27, 3.05 x 1.10 m.</v>
      </c>
      <c r="C116" s="6" t="str">
        <f t="shared" si="1"/>
        <v>u</v>
      </c>
      <c r="D116" s="51">
        <f>0.03*1.3</f>
        <v>3.9E-2</v>
      </c>
      <c r="E116" s="51">
        <f>VLOOKUP(A116,'IN-10-14'!A63:D63,4,FALSE)</f>
        <v>211.01652892561984</v>
      </c>
      <c r="F116" s="69">
        <f t="shared" si="2"/>
        <v>8.2296446280991731</v>
      </c>
    </row>
    <row r="117" spans="1:7">
      <c r="A117" s="3" t="s">
        <v>1585</v>
      </c>
      <c r="B117" s="4" t="str">
        <f t="shared" si="0"/>
        <v>cal hidratada en bolsa</v>
      </c>
      <c r="C117" s="6" t="str">
        <f t="shared" si="1"/>
        <v>kg</v>
      </c>
      <c r="D117" s="51">
        <v>57.6</v>
      </c>
      <c r="E117" s="51">
        <f>VLOOKUP(A117,'IN-10-14'!A118:D992,4,FALSE)</f>
        <v>1.9256198347107438</v>
      </c>
      <c r="F117" s="69">
        <f t="shared" si="2"/>
        <v>110.91570247933885</v>
      </c>
    </row>
    <row r="118" spans="1:7">
      <c r="A118" s="3" t="s">
        <v>1578</v>
      </c>
      <c r="B118" s="4" t="str">
        <f t="shared" si="0"/>
        <v>cemento Portland</v>
      </c>
      <c r="C118" s="6" t="str">
        <f t="shared" si="1"/>
        <v>kg</v>
      </c>
      <c r="D118" s="51">
        <f>34.2+25</f>
        <v>59.2</v>
      </c>
      <c r="E118" s="51">
        <f>VLOOKUP(A118,'IN-10-14'!A119:D993,4,FALSE)</f>
        <v>1.7372000000000001</v>
      </c>
      <c r="F118" s="69">
        <f t="shared" si="2"/>
        <v>102.84224</v>
      </c>
    </row>
    <row r="119" spans="1:7">
      <c r="A119" s="3" t="s">
        <v>1577</v>
      </c>
      <c r="B119" s="4" t="str">
        <f t="shared" si="0"/>
        <v>hierro mejorado de 10 mm.</v>
      </c>
      <c r="C119" s="6" t="str">
        <f t="shared" si="1"/>
        <v>kg</v>
      </c>
      <c r="D119" s="51">
        <v>2.2000000000000002</v>
      </c>
      <c r="E119" s="51">
        <f>VLOOKUP(A119,'IN-10-14'!A7:D7,4,FALSE)</f>
        <v>10.584654902836721</v>
      </c>
      <c r="F119" s="69">
        <f t="shared" si="2"/>
        <v>23.286240786240789</v>
      </c>
    </row>
    <row r="120" spans="1:7">
      <c r="A120" s="3" t="s">
        <v>1586</v>
      </c>
      <c r="B120" s="4" t="str">
        <f t="shared" si="0"/>
        <v>ladrillo común de 1ra.calidad</v>
      </c>
      <c r="C120" s="6" t="str">
        <f t="shared" si="1"/>
        <v>mil</v>
      </c>
      <c r="D120" s="51">
        <v>0.4</v>
      </c>
      <c r="E120" s="51">
        <f>VLOOKUP(A120,'IN-10-14'!A121:D995,4,FALSE)</f>
        <v>2231.404958677686</v>
      </c>
      <c r="F120" s="69">
        <f t="shared" si="2"/>
        <v>892.56198347107443</v>
      </c>
    </row>
    <row r="121" spans="1:7">
      <c r="A121" s="3" t="s">
        <v>1580</v>
      </c>
      <c r="B121" s="4" t="str">
        <f t="shared" si="0"/>
        <v>arena gruesa</v>
      </c>
      <c r="C121" s="6" t="str">
        <f t="shared" si="1"/>
        <v>m3</v>
      </c>
      <c r="D121" s="51">
        <v>0.38500000000000001</v>
      </c>
      <c r="E121" s="51">
        <f>VLOOKUP(A121,'IN-10-14'!A42:D42,4,FALSE)</f>
        <v>184.46464646464645</v>
      </c>
      <c r="F121" s="69">
        <f t="shared" si="2"/>
        <v>71.018888888888881</v>
      </c>
    </row>
    <row r="122" spans="1:7">
      <c r="A122" s="82" t="s">
        <v>347</v>
      </c>
      <c r="D122" s="51"/>
      <c r="E122" s="51"/>
      <c r="F122" s="69"/>
    </row>
    <row r="123" spans="1:7">
      <c r="A123" s="3" t="s">
        <v>1575</v>
      </c>
      <c r="B123" s="4" t="str">
        <f>VLOOKUP(A123,Insumos,2)</f>
        <v>cuadrilla tipo UOCRA</v>
      </c>
      <c r="C123" s="6" t="str">
        <f>VLOOKUP(A123,Insumos,3)</f>
        <v>h</v>
      </c>
      <c r="D123" s="51">
        <f>13.64+2</f>
        <v>15.64</v>
      </c>
      <c r="E123" s="51">
        <f>VLOOKUP(A123,'IN-10-14'!A124:D998,4,FALSE)</f>
        <v>64.12</v>
      </c>
      <c r="F123" s="69">
        <f>(D123*E123)</f>
        <v>1002.8368000000002</v>
      </c>
    </row>
    <row r="124" spans="1:7">
      <c r="A124" s="82" t="s">
        <v>348</v>
      </c>
      <c r="D124" s="51"/>
      <c r="E124" s="51"/>
      <c r="F124" s="69"/>
    </row>
    <row r="125" spans="1:7">
      <c r="A125" s="3" t="s">
        <v>1581</v>
      </c>
      <c r="B125" s="4" t="str">
        <f>VLOOKUP(A125,Insumos,2)</f>
        <v>canasta 2 (mixer 5m3)</v>
      </c>
      <c r="C125" s="6" t="str">
        <f>VLOOKUP(A125,Insumos,3)</f>
        <v>h</v>
      </c>
      <c r="D125" s="51">
        <v>3.3999999999999998E-3</v>
      </c>
      <c r="E125" s="51">
        <f>VLOOKUP(A125,'IN-10-14'!A110:D110,4,FALSE)</f>
        <v>827.71566885125844</v>
      </c>
      <c r="F125" s="69">
        <f>(D125*E125)</f>
        <v>2.8142332740942786</v>
      </c>
    </row>
  </sheetData>
  <customSheetViews>
    <customSheetView guid="{0D76B64C-AC04-4788-917D-4511FD9E9090}" showPageBreaks="1" showGridLines="0" printArea="1" hiddenColumns="1" showRuler="0" topLeftCell="A69">
      <selection activeCell="O89" sqref="O89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 topLeftCell="A69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D1" sqref="D1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7">
    <tabColor indexed="43"/>
  </sheetPr>
  <dimension ref="A1:G14"/>
  <sheetViews>
    <sheetView showGridLines="0" zoomScale="90" zoomScaleNormal="75" zoomScaleSheetLayoutView="75" workbookViewId="0">
      <selection activeCell="A8" sqref="A8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>
      <c r="D1" s="51"/>
      <c r="E1" s="51"/>
      <c r="F1" s="69"/>
    </row>
    <row r="2" spans="1:7" ht="13.5" thickTop="1">
      <c r="A2" s="75" t="s">
        <v>342</v>
      </c>
      <c r="B2" s="218" t="s">
        <v>1767</v>
      </c>
      <c r="C2" s="77" t="str">
        <f>Fecha</f>
        <v>Oct-14</v>
      </c>
      <c r="D2" s="48"/>
      <c r="E2" s="48"/>
      <c r="F2" s="219">
        <f>SUM(F4:F13)</f>
        <v>70.680508143518281</v>
      </c>
      <c r="G2" s="41"/>
    </row>
    <row r="3" spans="1:7" ht="13.5" thickBot="1">
      <c r="A3" s="7" t="s">
        <v>341</v>
      </c>
      <c r="B3" s="7" t="s">
        <v>1626</v>
      </c>
      <c r="C3" s="78" t="s">
        <v>340</v>
      </c>
      <c r="D3" s="49" t="s">
        <v>1673</v>
      </c>
      <c r="E3" s="50"/>
      <c r="F3" s="68"/>
      <c r="G3" s="42" t="s">
        <v>1876</v>
      </c>
    </row>
    <row r="4" spans="1:7" ht="13.5" thickTop="1">
      <c r="A4" s="82" t="s">
        <v>346</v>
      </c>
      <c r="D4" s="51"/>
      <c r="E4" s="51"/>
      <c r="F4" s="69"/>
    </row>
    <row r="5" spans="1:7">
      <c r="A5" s="3" t="s">
        <v>1578</v>
      </c>
      <c r="B5" s="4" t="str">
        <f>VLOOKUP(A5,Insumos,2)</f>
        <v>cemento Portland</v>
      </c>
      <c r="C5" s="6" t="str">
        <f>VLOOKUP(A5,Insumos,3)</f>
        <v>kg</v>
      </c>
      <c r="D5" s="51">
        <f>+D8*500</f>
        <v>10</v>
      </c>
      <c r="E5" s="51">
        <f>VLOOKUP(A5,'IN-10-14'!A244:D244,4,FALSE)</f>
        <v>1.7372000000000001</v>
      </c>
      <c r="F5" s="69">
        <f>(D5*E5)</f>
        <v>17.372</v>
      </c>
    </row>
    <row r="6" spans="1:7">
      <c r="A6" s="3" t="s">
        <v>44</v>
      </c>
      <c r="B6" s="4" t="str">
        <f>VLOOKUP(A6,Insumos,2)</f>
        <v>plástico 100 micrones</v>
      </c>
      <c r="C6" s="6" t="str">
        <f>VLOOKUP(A6,Insumos,3)</f>
        <v>m2</v>
      </c>
      <c r="D6" s="51">
        <v>1.05</v>
      </c>
      <c r="E6" s="51">
        <f>VLOOKUP(A6,'IN-10-14'!A36:D36,4,FALSE)</f>
        <v>2.4</v>
      </c>
      <c r="F6" s="69">
        <f>(D6*E6)</f>
        <v>2.52</v>
      </c>
    </row>
    <row r="7" spans="1:7">
      <c r="A7" s="229" t="s">
        <v>500</v>
      </c>
      <c r="B7" s="4" t="str">
        <f>VLOOKUP(A7,Insumos,2)</f>
        <v>hidrófugo</v>
      </c>
      <c r="C7" s="6" t="str">
        <f>VLOOKUP(A7,Insumos,3)</f>
        <v>l</v>
      </c>
      <c r="D7" s="51">
        <v>0.25</v>
      </c>
      <c r="E7" s="51">
        <f>VLOOKUP(A7,'IN-10-14'!A32:D32,4,FALSE)</f>
        <v>7.51</v>
      </c>
      <c r="F7" s="69">
        <f>(D7*E7)</f>
        <v>1.8774999999999999</v>
      </c>
    </row>
    <row r="8" spans="1:7">
      <c r="A8" s="3" t="s">
        <v>1580</v>
      </c>
      <c r="B8" s="4" t="str">
        <f>VLOOKUP(A8,Insumos,2)</f>
        <v>arena gruesa</v>
      </c>
      <c r="C8" s="6" t="str">
        <f>VLOOKUP(A8,Insumos,3)</f>
        <v>m3</v>
      </c>
      <c r="D8" s="51">
        <v>0.02</v>
      </c>
      <c r="E8" s="51">
        <f>VLOOKUP(A8,'IN-10-14'!A42:D42,4,FALSE)</f>
        <v>184.46464646464645</v>
      </c>
      <c r="F8" s="69">
        <f>(D8*E8)</f>
        <v>3.6892929292929288</v>
      </c>
    </row>
    <row r="9" spans="1:7">
      <c r="A9" s="3" t="s">
        <v>1621</v>
      </c>
      <c r="B9" s="4" t="str">
        <f>VLOOKUP(A9,Insumos,2)</f>
        <v>pintura asfáltica secado rapido</v>
      </c>
      <c r="C9" s="6" t="str">
        <f>VLOOKUP(A9,Insumos,3)</f>
        <v>l</v>
      </c>
      <c r="D9" s="51">
        <v>0.25</v>
      </c>
      <c r="E9" s="51">
        <f>VLOOKUP(A9,'IN-10-14'!A288:D288,4,FALSE)</f>
        <v>23.237676</v>
      </c>
      <c r="F9" s="69">
        <f>(D9*E9)</f>
        <v>5.8094190000000001</v>
      </c>
    </row>
    <row r="10" spans="1:7">
      <c r="A10" s="82" t="s">
        <v>347</v>
      </c>
      <c r="D10" s="51"/>
      <c r="E10" s="51"/>
      <c r="F10" s="69"/>
    </row>
    <row r="11" spans="1:7">
      <c r="A11" s="3" t="s">
        <v>1575</v>
      </c>
      <c r="B11" s="4" t="str">
        <f>VLOOKUP(A11,Insumos,2)</f>
        <v>cuadrilla tipo UOCRA</v>
      </c>
      <c r="C11" s="6" t="str">
        <f>VLOOKUP(A11,Insumos,3)</f>
        <v>h</v>
      </c>
      <c r="D11" s="51">
        <v>0.56999999999999995</v>
      </c>
      <c r="E11" s="51">
        <f>VLOOKUP(A11,'IN-10-14'!A274:D274,4,FALSE)</f>
        <v>64.12</v>
      </c>
      <c r="F11" s="69">
        <f>(D11*E11)</f>
        <v>36.548400000000001</v>
      </c>
    </row>
    <row r="12" spans="1:7">
      <c r="A12" s="82" t="s">
        <v>348</v>
      </c>
      <c r="D12" s="51"/>
      <c r="E12" s="51"/>
      <c r="F12" s="69"/>
    </row>
    <row r="13" spans="1:7">
      <c r="A13" s="3" t="s">
        <v>1581</v>
      </c>
      <c r="B13" s="4" t="str">
        <f>VLOOKUP(A13,Insumos,2)</f>
        <v>canasta 2 (mixer 5m3)</v>
      </c>
      <c r="C13" s="6" t="str">
        <f>VLOOKUP(A13,Insumos,3)</f>
        <v>h</v>
      </c>
      <c r="D13" s="51">
        <v>3.46E-3</v>
      </c>
      <c r="E13" s="51">
        <f>VLOOKUP(A13,'IN-10-14'!A110:D110,4,FALSE)</f>
        <v>827.71566885125844</v>
      </c>
      <c r="F13" s="69">
        <f>(D13*E13)</f>
        <v>2.8638962142253543</v>
      </c>
    </row>
    <row r="14" spans="1:7">
      <c r="D14" s="51"/>
      <c r="E14" s="51"/>
      <c r="F14" s="69"/>
    </row>
  </sheetData>
  <customSheetViews>
    <customSheetView guid="{0D76B64C-AC04-4788-917D-4511FD9E9090}" showPageBreaks="1" showGridLines="0" printArea="1" hiddenColumns="1" showRuler="0">
      <selection activeCell="M2" sqref="M2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C1" sqref="C1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8">
    <tabColor indexed="15"/>
  </sheetPr>
  <dimension ref="A1:G48"/>
  <sheetViews>
    <sheetView showGridLines="0" zoomScale="90" zoomScaleNormal="75" zoomScaleSheetLayoutView="75" workbookViewId="0">
      <selection activeCell="A31" sqref="A31"/>
    </sheetView>
  </sheetViews>
  <sheetFormatPr baseColWidth="10" defaultColWidth="9.77734375" defaultRowHeight="12.75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>
      <c r="D1" s="51"/>
      <c r="E1" s="51"/>
      <c r="F1" s="69"/>
    </row>
    <row r="2" spans="1:7" ht="13.5" thickTop="1">
      <c r="A2" s="75" t="s">
        <v>342</v>
      </c>
      <c r="B2" s="218" t="s">
        <v>1768</v>
      </c>
      <c r="C2" s="77" t="str">
        <f>Fecha</f>
        <v>Oct-14</v>
      </c>
      <c r="D2" s="48"/>
      <c r="E2" s="48"/>
      <c r="F2" s="219">
        <f>SUM(F4:F12)</f>
        <v>170.86422788809645</v>
      </c>
      <c r="G2" s="41"/>
    </row>
    <row r="3" spans="1:7" ht="13.5" thickBot="1">
      <c r="A3" s="7" t="s">
        <v>341</v>
      </c>
      <c r="B3" s="7" t="s">
        <v>1627</v>
      </c>
      <c r="C3" s="78" t="s">
        <v>340</v>
      </c>
      <c r="D3" s="49" t="s">
        <v>1674</v>
      </c>
      <c r="E3" s="50"/>
      <c r="F3" s="68"/>
      <c r="G3" s="42" t="s">
        <v>1876</v>
      </c>
    </row>
    <row r="4" spans="1:7" ht="13.5" thickTop="1">
      <c r="A4" s="82" t="s">
        <v>346</v>
      </c>
      <c r="D4" s="51"/>
      <c r="E4" s="51"/>
      <c r="F4" s="69"/>
    </row>
    <row r="5" spans="1:7">
      <c r="A5" s="3" t="s">
        <v>1585</v>
      </c>
      <c r="B5" s="4" t="str">
        <f>VLOOKUP(A5,Insumos,2)</f>
        <v>cal hidratada en bolsa</v>
      </c>
      <c r="C5" s="6" t="str">
        <f>VLOOKUP(A5,Insumos,3)</f>
        <v>kg</v>
      </c>
      <c r="D5" s="51">
        <v>3.1</v>
      </c>
      <c r="E5" s="51">
        <f>VLOOKUP(A5,'IN-10-14'!A6:D880,4)</f>
        <v>1.9256198347107438</v>
      </c>
      <c r="F5" s="69">
        <f>(D5*E5)</f>
        <v>5.9694214876033058</v>
      </c>
    </row>
    <row r="6" spans="1:7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4.8499999999999996</v>
      </c>
      <c r="E6" s="51">
        <f>VLOOKUP(A6,'IN-10-14'!A7:D881,4)</f>
        <v>1.7372000000000001</v>
      </c>
      <c r="F6" s="69">
        <f>(D6*E6)</f>
        <v>8.425419999999999</v>
      </c>
    </row>
    <row r="7" spans="1:7">
      <c r="A7" s="229" t="s">
        <v>500</v>
      </c>
      <c r="B7" s="4" t="str">
        <f>VLOOKUP(A7,Insumos,2)</f>
        <v>hidrófugo</v>
      </c>
      <c r="C7" s="6" t="str">
        <f>VLOOKUP(A7,Insumos,3)</f>
        <v>l</v>
      </c>
      <c r="D7" s="51">
        <v>0.13</v>
      </c>
      <c r="E7" s="51">
        <f>VLOOKUP(A7,'IN-10-14'!A8:D882,4)</f>
        <v>7.51</v>
      </c>
      <c r="F7" s="69">
        <f>(D7*E7)</f>
        <v>0.97630000000000006</v>
      </c>
    </row>
    <row r="8" spans="1:7">
      <c r="A8" s="3" t="s">
        <v>1580</v>
      </c>
      <c r="B8" s="4" t="str">
        <f>VLOOKUP(A8,Insumos,2)</f>
        <v>arena gruesa</v>
      </c>
      <c r="C8" s="6" t="str">
        <f>VLOOKUP(A8,Insumos,3)</f>
        <v>m3</v>
      </c>
      <c r="D8" s="51">
        <v>0.03</v>
      </c>
      <c r="E8" s="51">
        <f>VLOOKUP(A8,'IN-10-14'!A9:D883,4)</f>
        <v>184.46464646464645</v>
      </c>
      <c r="F8" s="69">
        <f>(D8*E8)</f>
        <v>5.5339393939393933</v>
      </c>
    </row>
    <row r="9" spans="1:7">
      <c r="A9" s="82" t="s">
        <v>347</v>
      </c>
      <c r="D9" s="51"/>
      <c r="E9" s="51"/>
      <c r="F9" s="69"/>
    </row>
    <row r="10" spans="1:7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v>2.2999999999999998</v>
      </c>
      <c r="E10" s="51">
        <f>VLOOKUP(A10,'IN-10-14'!A11:D885,4)</f>
        <v>64.12</v>
      </c>
      <c r="F10" s="69">
        <f>(D10*E10)</f>
        <v>147.476</v>
      </c>
    </row>
    <row r="11" spans="1:7">
      <c r="A11" s="82" t="s">
        <v>348</v>
      </c>
      <c r="D11" s="51"/>
      <c r="E11" s="51"/>
      <c r="F11" s="69"/>
    </row>
    <row r="12" spans="1:7">
      <c r="A12" s="3" t="s">
        <v>1581</v>
      </c>
      <c r="B12" s="4" t="str">
        <f>VLOOKUP(A12,Insumos,2)</f>
        <v>canasta 2 (mixer 5m3)</v>
      </c>
      <c r="C12" s="6" t="str">
        <f>VLOOKUP(A12,Insumos,3)</f>
        <v>h</v>
      </c>
      <c r="D12" s="51">
        <v>3.0000000000000001E-3</v>
      </c>
      <c r="E12" s="51">
        <f>VLOOKUP(A12,'IN-10-14'!A13:D887,4)</f>
        <v>827.71566885125844</v>
      </c>
      <c r="F12" s="69">
        <f>(D12*E12)</f>
        <v>2.4831470065537755</v>
      </c>
    </row>
    <row r="13" spans="1:7" ht="13.5" thickBot="1">
      <c r="D13" s="51"/>
      <c r="E13" s="51"/>
      <c r="F13" s="69"/>
    </row>
    <row r="14" spans="1:7" ht="13.5" thickTop="1">
      <c r="A14" s="75" t="s">
        <v>342</v>
      </c>
      <c r="B14" s="218" t="s">
        <v>13</v>
      </c>
      <c r="C14" s="77" t="str">
        <f>Fecha</f>
        <v>Oct-14</v>
      </c>
      <c r="D14" s="48"/>
      <c r="E14" s="48"/>
      <c r="F14" s="219">
        <f>SUM(F17:F24)</f>
        <v>95.091394286266606</v>
      </c>
      <c r="G14" s="41"/>
    </row>
    <row r="15" spans="1:7" ht="13.5" thickBot="1">
      <c r="A15" s="7" t="s">
        <v>341</v>
      </c>
      <c r="B15" s="7" t="s">
        <v>1627</v>
      </c>
      <c r="C15" s="78" t="s">
        <v>340</v>
      </c>
      <c r="D15" s="49" t="s">
        <v>1675</v>
      </c>
      <c r="E15" s="50"/>
      <c r="F15" s="68"/>
      <c r="G15" s="42" t="s">
        <v>1876</v>
      </c>
    </row>
    <row r="16" spans="1:7" ht="13.5" thickTop="1">
      <c r="D16" s="51"/>
      <c r="E16" s="51"/>
      <c r="F16" s="69"/>
    </row>
    <row r="17" spans="1:7">
      <c r="A17" s="82" t="s">
        <v>346</v>
      </c>
      <c r="D17" s="51"/>
      <c r="E17" s="51"/>
      <c r="F17" s="69"/>
    </row>
    <row r="18" spans="1:7">
      <c r="A18" s="3" t="s">
        <v>1585</v>
      </c>
      <c r="B18" s="4" t="str">
        <f>VLOOKUP(A18,Insumos,2)</f>
        <v>cal hidratada en bolsa</v>
      </c>
      <c r="C18" s="6" t="str">
        <f>VLOOKUP(A18,Insumos,3)</f>
        <v>kg</v>
      </c>
      <c r="D18" s="51">
        <v>3.1</v>
      </c>
      <c r="E18" s="51">
        <f>VLOOKUP(A18,'IN-10-14'!A19:D893,4)</f>
        <v>1.9256198347107438</v>
      </c>
      <c r="F18" s="69">
        <f>(D18*E18)</f>
        <v>5.9694214876033058</v>
      </c>
    </row>
    <row r="19" spans="1:7">
      <c r="A19" s="3" t="s">
        <v>1578</v>
      </c>
      <c r="B19" s="4" t="str">
        <f>VLOOKUP(A19,Insumos,2)</f>
        <v>cemento Portland</v>
      </c>
      <c r="C19" s="6" t="str">
        <f>VLOOKUP(A19,Insumos,3)</f>
        <v>kg</v>
      </c>
      <c r="D19" s="51">
        <v>1.7</v>
      </c>
      <c r="E19" s="51">
        <f>VLOOKUP(A19,'IN-10-14'!A20:D894,4)</f>
        <v>1.7372000000000001</v>
      </c>
      <c r="F19" s="69">
        <f>(D19*E19)</f>
        <v>2.9532400000000001</v>
      </c>
    </row>
    <row r="20" spans="1:7">
      <c r="A20" s="3" t="s">
        <v>1580</v>
      </c>
      <c r="B20" s="4" t="str">
        <f>VLOOKUP(A20,Insumos,2)</f>
        <v>arena gruesa</v>
      </c>
      <c r="C20" s="6" t="str">
        <f>VLOOKUP(A20,Insumos,3)</f>
        <v>m3</v>
      </c>
      <c r="D20" s="51">
        <v>2.5000000000000001E-2</v>
      </c>
      <c r="E20" s="51">
        <f>VLOOKUP(A20,'IN-10-14'!A21:D895,4)</f>
        <v>184.46464646464645</v>
      </c>
      <c r="F20" s="69">
        <f>(D20*E20)</f>
        <v>4.6116161616161611</v>
      </c>
    </row>
    <row r="21" spans="1:7">
      <c r="A21" s="82" t="s">
        <v>347</v>
      </c>
      <c r="D21" s="51"/>
      <c r="E21" s="51"/>
      <c r="F21" s="69"/>
    </row>
    <row r="22" spans="1:7">
      <c r="A22" s="3" t="s">
        <v>1575</v>
      </c>
      <c r="B22" s="4" t="str">
        <f>VLOOKUP(A22,Insumos,2)</f>
        <v>cuadrilla tipo UOCRA</v>
      </c>
      <c r="C22" s="6" t="str">
        <f>VLOOKUP(A22,Insumos,3)</f>
        <v>h</v>
      </c>
      <c r="D22" s="51">
        <v>1.25</v>
      </c>
      <c r="E22" s="51">
        <f>VLOOKUP(A22,'IN-10-14'!A23:D897,4)</f>
        <v>64.12</v>
      </c>
      <c r="F22" s="69">
        <f>(D22*E22)</f>
        <v>80.150000000000006</v>
      </c>
    </row>
    <row r="23" spans="1:7">
      <c r="A23" s="82" t="s">
        <v>348</v>
      </c>
      <c r="D23" s="51"/>
      <c r="E23" s="51"/>
      <c r="F23" s="69"/>
    </row>
    <row r="24" spans="1:7">
      <c r="A24" s="3" t="s">
        <v>1581</v>
      </c>
      <c r="B24" s="4" t="str">
        <f>VLOOKUP(A24,Insumos,2)</f>
        <v>canasta 2 (mixer 5m3)</v>
      </c>
      <c r="C24" s="6" t="str">
        <f>VLOOKUP(A24,Insumos,3)</f>
        <v>h</v>
      </c>
      <c r="D24" s="51">
        <v>1.6999999999999999E-3</v>
      </c>
      <c r="E24" s="51">
        <f>VLOOKUP(A24,'IN-10-14'!A25:D899,4)</f>
        <v>827.71566885125844</v>
      </c>
      <c r="F24" s="69">
        <f>(D24*E24)</f>
        <v>1.4071166370471393</v>
      </c>
    </row>
    <row r="25" spans="1:7" ht="13.5" thickBot="1">
      <c r="D25" s="51"/>
      <c r="E25" s="51"/>
      <c r="F25" s="69"/>
    </row>
    <row r="26" spans="1:7" ht="13.5" thickTop="1">
      <c r="A26" s="75" t="s">
        <v>342</v>
      </c>
      <c r="B26" s="218" t="s">
        <v>1769</v>
      </c>
      <c r="C26" s="77" t="str">
        <f>Fecha</f>
        <v>Oct-14</v>
      </c>
      <c r="D26" s="48"/>
      <c r="E26" s="48"/>
      <c r="F26" s="219">
        <f>SUM(F28:F36)</f>
        <v>89.156034895690027</v>
      </c>
      <c r="G26" s="41"/>
    </row>
    <row r="27" spans="1:7" ht="13.5" thickBot="1">
      <c r="A27" s="7" t="s">
        <v>341</v>
      </c>
      <c r="B27" s="7" t="s">
        <v>1627</v>
      </c>
      <c r="C27" s="78" t="s">
        <v>340</v>
      </c>
      <c r="D27" s="49" t="s">
        <v>1831</v>
      </c>
      <c r="E27" s="50"/>
      <c r="F27" s="68"/>
      <c r="G27" s="42" t="s">
        <v>1876</v>
      </c>
    </row>
    <row r="28" spans="1:7" ht="13.5" thickTop="1">
      <c r="A28" s="82" t="s">
        <v>346</v>
      </c>
      <c r="D28" s="51"/>
      <c r="E28" s="51"/>
      <c r="F28" s="69"/>
    </row>
    <row r="29" spans="1:7">
      <c r="A29" s="3" t="s">
        <v>1585</v>
      </c>
      <c r="B29" s="4" t="str">
        <f>VLOOKUP(A29,Insumos,2)</f>
        <v>cal hidratada en bolsa</v>
      </c>
      <c r="C29" s="6" t="str">
        <f>VLOOKUP(A29,Insumos,3)</f>
        <v>kg</v>
      </c>
      <c r="D29" s="51">
        <v>2.4</v>
      </c>
      <c r="E29" s="51">
        <f>VLOOKUP(A29,'IN-10-14'!A30:D904,4)</f>
        <v>1.9256198347107438</v>
      </c>
      <c r="F29" s="69">
        <f>(D29*E29)</f>
        <v>4.621487603305785</v>
      </c>
    </row>
    <row r="30" spans="1:7">
      <c r="A30" s="229" t="s">
        <v>500</v>
      </c>
      <c r="B30" s="4" t="str">
        <f>VLOOKUP(A30,Insumos,2)</f>
        <v>hidrófugo</v>
      </c>
      <c r="C30" s="6" t="str">
        <f>VLOOKUP(A30,Insumos,3)</f>
        <v>l</v>
      </c>
      <c r="D30" s="51">
        <v>0.13</v>
      </c>
      <c r="E30" s="51">
        <f>VLOOKUP(A30,'IN-10-14'!A31:D905,4)</f>
        <v>7.51</v>
      </c>
      <c r="F30" s="69">
        <f>(D30*E30)</f>
        <v>0.97630000000000006</v>
      </c>
    </row>
    <row r="31" spans="1:7">
      <c r="A31" s="3" t="s">
        <v>1578</v>
      </c>
      <c r="B31" s="4" t="str">
        <f>VLOOKUP(A31,Insumos,2)</f>
        <v>cemento Portland</v>
      </c>
      <c r="C31" s="6" t="str">
        <f>VLOOKUP(A31,Insumos,3)</f>
        <v>kg</v>
      </c>
      <c r="D31" s="51">
        <v>4.4000000000000004</v>
      </c>
      <c r="E31" s="51">
        <f>VLOOKUP(A31,'IN-10-14'!A32:D906,4)</f>
        <v>1.7372000000000001</v>
      </c>
      <c r="F31" s="69">
        <f>(D31*E31)</f>
        <v>7.6436800000000007</v>
      </c>
    </row>
    <row r="32" spans="1:7">
      <c r="A32" s="3" t="s">
        <v>1580</v>
      </c>
      <c r="B32" s="4" t="str">
        <f>VLOOKUP(A32,Insumos,2)</f>
        <v>arena gruesa</v>
      </c>
      <c r="C32" s="6" t="str">
        <f>VLOOKUP(A32,Insumos,3)</f>
        <v>m3</v>
      </c>
      <c r="D32" s="51">
        <v>2.1999999999999999E-2</v>
      </c>
      <c r="E32" s="51">
        <f>VLOOKUP(A32,'IN-10-14'!A33:D907,4)</f>
        <v>184.46464646464645</v>
      </c>
      <c r="F32" s="69">
        <f>(D32*E32)</f>
        <v>4.0582222222222217</v>
      </c>
    </row>
    <row r="33" spans="1:7">
      <c r="A33" s="82" t="s">
        <v>347</v>
      </c>
      <c r="D33" s="51"/>
      <c r="E33" s="51"/>
      <c r="F33" s="69"/>
    </row>
    <row r="34" spans="1:7">
      <c r="A34" s="3" t="s">
        <v>1575</v>
      </c>
      <c r="B34" s="4" t="str">
        <f>VLOOKUP(A34,Insumos,2)</f>
        <v>cuadrilla tipo UOCRA</v>
      </c>
      <c r="C34" s="6" t="str">
        <f>VLOOKUP(A34,Insumos,3)</f>
        <v>h</v>
      </c>
      <c r="D34" s="51">
        <v>1.1000000000000001</v>
      </c>
      <c r="E34" s="51">
        <f>VLOOKUP(A34,'IN-10-14'!A35:D909,4)</f>
        <v>64.12</v>
      </c>
      <c r="F34" s="69">
        <f>(D34*E34)</f>
        <v>70.532000000000011</v>
      </c>
    </row>
    <row r="35" spans="1:7">
      <c r="A35" s="82" t="s">
        <v>348</v>
      </c>
      <c r="D35" s="51"/>
      <c r="E35" s="51"/>
      <c r="F35" s="69"/>
    </row>
    <row r="36" spans="1:7">
      <c r="A36" s="3" t="s">
        <v>1581</v>
      </c>
      <c r="B36" s="4" t="str">
        <f>VLOOKUP(A36,Insumos,2)</f>
        <v>canasta 2 (mixer 5m3)</v>
      </c>
      <c r="C36" s="6" t="str">
        <f>VLOOKUP(A36,Insumos,3)</f>
        <v>h</v>
      </c>
      <c r="D36" s="51">
        <v>1.6000000000000001E-3</v>
      </c>
      <c r="E36" s="51">
        <f>VLOOKUP(A36,'IN-10-14'!A37:D911,4)</f>
        <v>827.71566885125844</v>
      </c>
      <c r="F36" s="69">
        <f>(D36*E36)</f>
        <v>1.3243450701620136</v>
      </c>
    </row>
    <row r="37" spans="1:7" ht="13.5" thickBot="1">
      <c r="D37" s="51"/>
      <c r="E37" s="51"/>
      <c r="F37" s="69"/>
    </row>
    <row r="38" spans="1:7" ht="13.5" thickTop="1">
      <c r="A38" s="75" t="s">
        <v>342</v>
      </c>
      <c r="B38" s="218" t="s">
        <v>12</v>
      </c>
      <c r="C38" s="77" t="str">
        <f>Fecha</f>
        <v>Oct-14</v>
      </c>
      <c r="D38" s="48"/>
      <c r="E38" s="48"/>
      <c r="F38" s="219">
        <f>SUM(F40:F48)</f>
        <v>155.53329870352346</v>
      </c>
      <c r="G38" s="41"/>
    </row>
    <row r="39" spans="1:7" ht="13.5" thickBot="1">
      <c r="A39" s="7" t="s">
        <v>341</v>
      </c>
      <c r="B39" s="7" t="s">
        <v>1627</v>
      </c>
      <c r="C39" s="78" t="s">
        <v>340</v>
      </c>
      <c r="D39" s="49" t="s">
        <v>1676</v>
      </c>
      <c r="E39" s="50"/>
      <c r="F39" s="68"/>
      <c r="G39" s="42" t="s">
        <v>1876</v>
      </c>
    </row>
    <row r="40" spans="1:7" ht="13.5" thickTop="1">
      <c r="A40" s="82" t="s">
        <v>346</v>
      </c>
      <c r="D40" s="51"/>
      <c r="E40" s="51"/>
      <c r="F40" s="69"/>
    </row>
    <row r="41" spans="1:7">
      <c r="A41" s="3" t="s">
        <v>1585</v>
      </c>
      <c r="B41" s="4" t="str">
        <f>VLOOKUP(A41,Insumos,2)</f>
        <v>cal hidratada en bolsa</v>
      </c>
      <c r="C41" s="6" t="str">
        <f>VLOOKUP(A41,Insumos,3)</f>
        <v>kg</v>
      </c>
      <c r="D41" s="51">
        <v>1.1000000000000001</v>
      </c>
      <c r="E41" s="51">
        <f>VLOOKUP(A41,'IN-10-14'!A42:D916,4)</f>
        <v>1.9256198347107438</v>
      </c>
      <c r="F41" s="69">
        <f>(D41*E41)</f>
        <v>2.1181818181818182</v>
      </c>
    </row>
    <row r="42" spans="1:7">
      <c r="A42" s="3" t="s">
        <v>1578</v>
      </c>
      <c r="B42" s="4" t="str">
        <f>VLOOKUP(A42,Insumos,2)</f>
        <v>cemento Portland</v>
      </c>
      <c r="C42" s="6" t="str">
        <f>VLOOKUP(A42,Insumos,3)</f>
        <v>kg</v>
      </c>
      <c r="D42" s="51">
        <v>4</v>
      </c>
      <c r="E42" s="51">
        <f>VLOOKUP(A42,'IN-10-14'!A43:D917,4)</f>
        <v>1.7372000000000001</v>
      </c>
      <c r="F42" s="69">
        <f>(D42*E42)</f>
        <v>6.9488000000000003</v>
      </c>
    </row>
    <row r="43" spans="1:7">
      <c r="A43" s="3" t="s">
        <v>1580</v>
      </c>
      <c r="B43" s="4" t="str">
        <f>VLOOKUP(A43,Insumos,2)</f>
        <v>arena gruesa</v>
      </c>
      <c r="C43" s="6" t="str">
        <f>VLOOKUP(A43,Insumos,3)</f>
        <v>m3</v>
      </c>
      <c r="D43" s="51">
        <v>6.0000000000000001E-3</v>
      </c>
      <c r="E43" s="51">
        <f>VLOOKUP(A43,'IN-10-14'!A42:D918,4)</f>
        <v>184.46464646464645</v>
      </c>
      <c r="F43" s="69">
        <f>(D43*E43)</f>
        <v>1.1067878787878787</v>
      </c>
    </row>
    <row r="44" spans="1:7">
      <c r="A44" s="3" t="s">
        <v>1589</v>
      </c>
      <c r="B44" s="4" t="str">
        <f>VLOOKUP(A44,Insumos,2)</f>
        <v>yeso blanco</v>
      </c>
      <c r="C44" s="6" t="str">
        <f>VLOOKUP(A44,Insumos,3)</f>
        <v>kg</v>
      </c>
      <c r="D44" s="51">
        <v>18</v>
      </c>
      <c r="E44" s="51">
        <f>VLOOKUP(A44,'IN-10-14'!A45:D919,4)</f>
        <v>3.4847990000000002</v>
      </c>
      <c r="F44" s="69">
        <f>(D44*E44)</f>
        <v>62.726382000000001</v>
      </c>
    </row>
    <row r="45" spans="1:7">
      <c r="A45" s="82" t="s">
        <v>347</v>
      </c>
      <c r="D45" s="51"/>
      <c r="E45" s="51"/>
      <c r="F45" s="69"/>
    </row>
    <row r="46" spans="1:7">
      <c r="A46" s="3" t="s">
        <v>1575</v>
      </c>
      <c r="B46" s="4" t="str">
        <f>VLOOKUP(A46,Insumos,2)</f>
        <v>cuadrilla tipo UOCRA</v>
      </c>
      <c r="C46" s="6" t="str">
        <f>VLOOKUP(A46,Insumos,3)</f>
        <v>h</v>
      </c>
      <c r="D46" s="51">
        <v>1.25</v>
      </c>
      <c r="E46" s="51">
        <f>VLOOKUP(A46,'IN-10-14'!A47:D921,4)</f>
        <v>64.12</v>
      </c>
      <c r="F46" s="69">
        <f>(D46*E46)</f>
        <v>80.150000000000006</v>
      </c>
    </row>
    <row r="47" spans="1:7">
      <c r="A47" s="82" t="s">
        <v>348</v>
      </c>
      <c r="D47" s="51"/>
      <c r="E47" s="51"/>
      <c r="F47" s="69"/>
    </row>
    <row r="48" spans="1:7">
      <c r="A48" s="3" t="s">
        <v>1581</v>
      </c>
      <c r="B48" s="4" t="str">
        <f>VLOOKUP(A48,Insumos,2)</f>
        <v>canasta 2 (mixer 5m3)</v>
      </c>
      <c r="C48" s="6" t="str">
        <f>VLOOKUP(A48,Insumos,3)</f>
        <v>h</v>
      </c>
      <c r="D48" s="51">
        <v>3.0000000000000001E-3</v>
      </c>
      <c r="E48" s="51">
        <f>VLOOKUP(A48,'IN-10-14'!A49:D923,4)</f>
        <v>827.71566885125844</v>
      </c>
      <c r="F48" s="69">
        <f>(D48*E48)</f>
        <v>2.4831470065537755</v>
      </c>
    </row>
  </sheetData>
  <customSheetViews>
    <customSheetView guid="{0D76B64C-AC04-4788-917D-4511FD9E9090}" showPageBreaks="1" showGridLines="0" printArea="1" hiddenColumns="1" showRuler="0">
      <selection activeCell="D1" sqref="D1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C1" sqref="C1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668</vt:i4>
      </vt:variant>
    </vt:vector>
  </HeadingPairs>
  <TitlesOfParts>
    <vt:vector size="695" baseType="lpstr">
      <vt:lpstr>Resumen</vt:lpstr>
      <vt:lpstr>IN-10-14</vt:lpstr>
      <vt:lpstr>Equipos</vt:lpstr>
      <vt:lpstr>Mov. Tierra</vt:lpstr>
      <vt:lpstr>Fundaciones</vt:lpstr>
      <vt:lpstr>Estr Resistente</vt:lpstr>
      <vt:lpstr>Cerram ext int</vt:lpstr>
      <vt:lpstr>Aislaciones</vt:lpstr>
      <vt:lpstr>Revoques</vt:lpstr>
      <vt:lpstr>Solados</vt:lpstr>
      <vt:lpstr>Techos</vt:lpstr>
      <vt:lpstr>Cielorrasos</vt:lpstr>
      <vt:lpstr>Revestimientos</vt:lpstr>
      <vt:lpstr>Carpintería</vt:lpstr>
      <vt:lpstr>Inst sanitaria</vt:lpstr>
      <vt:lpstr>Inst Gas</vt:lpstr>
      <vt:lpstr>Inst Eléctrica</vt:lpstr>
      <vt:lpstr>Pintura</vt:lpstr>
      <vt:lpstr>Vidrios</vt:lpstr>
      <vt:lpstr>Varios</vt:lpstr>
      <vt:lpstr>Red de Agua</vt:lpstr>
      <vt:lpstr>Red de Cloaca</vt:lpstr>
      <vt:lpstr>Red de Gas</vt:lpstr>
      <vt:lpstr>Red de Electricidad</vt:lpstr>
      <vt:lpstr>Red Vial</vt:lpstr>
      <vt:lpstr>Flete</vt:lpstr>
      <vt:lpstr>Dolar</vt:lpstr>
      <vt:lpstr>Aislaciones!Área_de_impresión</vt:lpstr>
      <vt:lpstr>Carpintería!Área_de_impresión</vt:lpstr>
      <vt:lpstr>'Cerram ext int'!Área_de_impresión</vt:lpstr>
      <vt:lpstr>Cielorrasos!Área_de_impresión</vt:lpstr>
      <vt:lpstr>Equipos!Área_de_impresión</vt:lpstr>
      <vt:lpstr>'Estr Resistente'!Área_de_impresión</vt:lpstr>
      <vt:lpstr>Fundaciones!Área_de_impresión</vt:lpstr>
      <vt:lpstr>'Inst Eléctrica'!Área_de_impresión</vt:lpstr>
      <vt:lpstr>'Inst Gas'!Área_de_impresión</vt:lpstr>
      <vt:lpstr>'Inst sanitaria'!Área_de_impresión</vt:lpstr>
      <vt:lpstr>'Mov. Tierra'!Área_de_impresión</vt:lpstr>
      <vt:lpstr>Pintura!Área_de_impresión</vt:lpstr>
      <vt:lpstr>'Red de Agua'!Área_de_impresión</vt:lpstr>
      <vt:lpstr>'Red de Cloaca'!Área_de_impresión</vt:lpstr>
      <vt:lpstr>'Red de Electricidad'!Área_de_impresión</vt:lpstr>
      <vt:lpstr>'Red de Gas'!Área_de_impresión</vt:lpstr>
      <vt:lpstr>'Red Vial'!Área_de_impresión</vt:lpstr>
      <vt:lpstr>Revestimientos!Área_de_impresión</vt:lpstr>
      <vt:lpstr>Revoques!Área_de_impresión</vt:lpstr>
      <vt:lpstr>Solados!Área_de_impresión</vt:lpstr>
      <vt:lpstr>Techos!Área_de_impresión</vt:lpstr>
      <vt:lpstr>Varios!Área_de_impresión</vt:lpstr>
      <vt:lpstr>Vidrios!Área_de_impresión</vt:lpstr>
      <vt:lpstr>camion</vt:lpstr>
      <vt:lpstr>CODIGO</vt:lpstr>
      <vt:lpstr>DESCRIPCION</vt:lpstr>
      <vt:lpstr>dfor_0.06.00.F</vt:lpstr>
      <vt:lpstr>dfor_0.06.01.F</vt:lpstr>
      <vt:lpstr>dfor_0.06.02.F</vt:lpstr>
      <vt:lpstr>dfor_0.06.03.F</vt:lpstr>
      <vt:lpstr>dfor_0.06.04.F</vt:lpstr>
      <vt:lpstr>dfor_0.06.06.F</vt:lpstr>
      <vt:lpstr>dfor_0.06.07.F</vt:lpstr>
      <vt:lpstr>dfor_0.06.08.F</vt:lpstr>
      <vt:lpstr>dfor_0.09.01.F</vt:lpstr>
      <vt:lpstr>dfor_0.09.02.F</vt:lpstr>
      <vt:lpstr>dfor_0.09.03.F</vt:lpstr>
      <vt:lpstr>dfor_0.09.04.F</vt:lpstr>
      <vt:lpstr>dfor_0.12.00.F</vt:lpstr>
      <vt:lpstr>dfor_0.12.01.F</vt:lpstr>
      <vt:lpstr>dfor_0.12.02.F</vt:lpstr>
      <vt:lpstr>dfor_0.12.03.F</vt:lpstr>
      <vt:lpstr>dfor_0.12.04.F</vt:lpstr>
      <vt:lpstr>dfor_0.12.05.F</vt:lpstr>
      <vt:lpstr>dfor_0.12.06.F</vt:lpstr>
      <vt:lpstr>dfor_0.12.07.F</vt:lpstr>
      <vt:lpstr>dfor_0.12.08.F</vt:lpstr>
      <vt:lpstr>dfor_0.12.09.F</vt:lpstr>
      <vt:lpstr>dfor_0.18.00.F</vt:lpstr>
      <vt:lpstr>dfor_0.18.01.F</vt:lpstr>
      <vt:lpstr>dfor_0.18.02.F</vt:lpstr>
      <vt:lpstr>dfor_0.18.15.F</vt:lpstr>
      <vt:lpstr>dfor_0.18.16.F</vt:lpstr>
      <vt:lpstr>dfor_0.18.17.F</vt:lpstr>
      <vt:lpstr>dfor_0.18.18.F</vt:lpstr>
      <vt:lpstr>dfor_0.18.25.F</vt:lpstr>
      <vt:lpstr>dfor_0.18.26.F</vt:lpstr>
      <vt:lpstr>dfor_0.18.27.F</vt:lpstr>
      <vt:lpstr>dfor_0.21.00.F</vt:lpstr>
      <vt:lpstr>dfor_0.24.00.F</vt:lpstr>
      <vt:lpstr>dfor_0.24.50.F</vt:lpstr>
      <vt:lpstr>dfor_0.24.51.F</vt:lpstr>
      <vt:lpstr>dfor_0.24.70.F</vt:lpstr>
      <vt:lpstr>dfor_0.27.00.A</vt:lpstr>
      <vt:lpstr>dfor_0.27.10.A</vt:lpstr>
      <vt:lpstr>dfor_0.27.20.A</vt:lpstr>
      <vt:lpstr>dfor_0.27.25.A</vt:lpstr>
      <vt:lpstr>dfor_0.27.30.A</vt:lpstr>
      <vt:lpstr>dfor_0.27.31.A</vt:lpstr>
      <vt:lpstr>dfor_0.27.40.A</vt:lpstr>
      <vt:lpstr>dfor_0.27.40.F</vt:lpstr>
      <vt:lpstr>dfor_0.27.41.F</vt:lpstr>
      <vt:lpstr>dfor_0.30.00.A</vt:lpstr>
      <vt:lpstr>dfor_0.30.01.A</vt:lpstr>
      <vt:lpstr>dfor_0.30.15.A</vt:lpstr>
      <vt:lpstr>dfor_0.30.30.A</vt:lpstr>
      <vt:lpstr>dfor_0.30.31.A</vt:lpstr>
      <vt:lpstr>dfor_0.30.45.A</vt:lpstr>
      <vt:lpstr>dfor_0.30.60.A</vt:lpstr>
      <vt:lpstr>dfor_0.30.61.A</vt:lpstr>
      <vt:lpstr>dfor_0.33.00.A</vt:lpstr>
      <vt:lpstr>dfor_0.33.05.A</vt:lpstr>
      <vt:lpstr>dfor_0.33.10.A</vt:lpstr>
      <vt:lpstr>dfor_0.33.15.A</vt:lpstr>
      <vt:lpstr>dfor_0.33.30.A</vt:lpstr>
      <vt:lpstr>dfor_0.33.35.A</vt:lpstr>
      <vt:lpstr>dfor_0.33.36.F</vt:lpstr>
      <vt:lpstr>dfor_0.36.30.A</vt:lpstr>
      <vt:lpstr>dfor_0.36.40.A</vt:lpstr>
      <vt:lpstr>dfor_0.39.00.A</vt:lpstr>
      <vt:lpstr>dfor_0.39.01.F</vt:lpstr>
      <vt:lpstr>dfor_0.39.02.F</vt:lpstr>
      <vt:lpstr>dfor_0.39.03.F</vt:lpstr>
      <vt:lpstr>dfor_0.39.04.F</vt:lpstr>
      <vt:lpstr>dfor_0.39.05.F</vt:lpstr>
      <vt:lpstr>dfor_0.48.00.F</vt:lpstr>
      <vt:lpstr>dfor_0.48.01.F</vt:lpstr>
      <vt:lpstr>dfor_0.48.02.F</vt:lpstr>
      <vt:lpstr>dfor_0.48.20.A</vt:lpstr>
      <vt:lpstr>dfor_0.54.00.F</vt:lpstr>
      <vt:lpstr>dfor_0.54.01.F</vt:lpstr>
      <vt:lpstr>dfor_0.57.00.F</vt:lpstr>
      <vt:lpstr>dfor_0.57.01.F</vt:lpstr>
      <vt:lpstr>dfor_0.57.02.F</vt:lpstr>
      <vt:lpstr>dfor_0.57.03.F</vt:lpstr>
      <vt:lpstr>dfor_0.57.04.F</vt:lpstr>
      <vt:lpstr>dfor_0.60.30.A</vt:lpstr>
      <vt:lpstr>dfor_0.60.30.F</vt:lpstr>
      <vt:lpstr>dfor_0.60.31.F</vt:lpstr>
      <vt:lpstr>dfor_0.60.40.A</vt:lpstr>
      <vt:lpstr>dfor_0.61.00.A</vt:lpstr>
      <vt:lpstr>dfor_0.63.00.A</vt:lpstr>
      <vt:lpstr>dfor_0.63.20.A</vt:lpstr>
      <vt:lpstr>dfor_0.63.20.F</vt:lpstr>
      <vt:lpstr>dfor_0.72.00.A</vt:lpstr>
      <vt:lpstr>dfor_0.72.20.A</vt:lpstr>
      <vt:lpstr>dfor_0.72.30.A</vt:lpstr>
      <vt:lpstr>dfor_0.72.40.A</vt:lpstr>
      <vt:lpstr>dfor_0.72.41.F</vt:lpstr>
      <vt:lpstr>dfor_0.72.42.F</vt:lpstr>
      <vt:lpstr>dfor_0.72.50.F</vt:lpstr>
      <vt:lpstr>dfor_0.78.00.A</vt:lpstr>
      <vt:lpstr>dfor_0.99.01.F</vt:lpstr>
      <vt:lpstr>dfor_0.99.02.F</vt:lpstr>
      <vt:lpstr>dfor_0.99.03.F</vt:lpstr>
      <vt:lpstr>dfor_0.99.04.F</vt:lpstr>
      <vt:lpstr>dfor_0.99.05.F</vt:lpstr>
      <vt:lpstr>dfor_0.99.06.F</vt:lpstr>
      <vt:lpstr>dfor_0.99.07.F</vt:lpstr>
      <vt:lpstr>dfor_0.99.08.F</vt:lpstr>
      <vt:lpstr>dfor_0.99.09.F</vt:lpstr>
      <vt:lpstr>dfor_0.99.10.F</vt:lpstr>
      <vt:lpstr>dfor_0.99.11.F</vt:lpstr>
      <vt:lpstr>dfor_1.10.00.F</vt:lpstr>
      <vt:lpstr>dfor_1.10.01.F</vt:lpstr>
      <vt:lpstr>dfor_1.10.02.F</vt:lpstr>
      <vt:lpstr>dfor_1.20.00.F</vt:lpstr>
      <vt:lpstr>dfor_1.20.01.F</vt:lpstr>
      <vt:lpstr>dfor_1.40.01.F</vt:lpstr>
      <vt:lpstr>dfor_1.60.01.F</vt:lpstr>
      <vt:lpstr>dfor_1.60.02.F</vt:lpstr>
      <vt:lpstr>dfor_1.60.03.F</vt:lpstr>
      <vt:lpstr>dfor_1.60.04.F</vt:lpstr>
      <vt:lpstr>dfor_1.80.01.A</vt:lpstr>
      <vt:lpstr>dfor_1.80.01.F</vt:lpstr>
      <vt:lpstr>dfor_1.80.02.F</vt:lpstr>
      <vt:lpstr>dfor_1.80.03.F</vt:lpstr>
      <vt:lpstr>Fecha</vt:lpstr>
      <vt:lpstr>Flete</vt:lpstr>
      <vt:lpstr>for_0.06.00.F</vt:lpstr>
      <vt:lpstr>for_0.06.01.F</vt:lpstr>
      <vt:lpstr>for_0.06.02.F</vt:lpstr>
      <vt:lpstr>for_0.06.03.F</vt:lpstr>
      <vt:lpstr>for_0.06.04.F</vt:lpstr>
      <vt:lpstr>for_0.06.06.F</vt:lpstr>
      <vt:lpstr>for_0.06.07.F</vt:lpstr>
      <vt:lpstr>for_0.06.08.F</vt:lpstr>
      <vt:lpstr>for_0.09.01.F</vt:lpstr>
      <vt:lpstr>for_0.09.02.F</vt:lpstr>
      <vt:lpstr>for_0.09.03.F</vt:lpstr>
      <vt:lpstr>for_0.09.04.F</vt:lpstr>
      <vt:lpstr>for_0.12.00.F</vt:lpstr>
      <vt:lpstr>for_0.12.01.F</vt:lpstr>
      <vt:lpstr>for_0.12.02.F</vt:lpstr>
      <vt:lpstr>for_0.12.03.F</vt:lpstr>
      <vt:lpstr>for_0.12.04.F</vt:lpstr>
      <vt:lpstr>for_0.12.05.F</vt:lpstr>
      <vt:lpstr>for_0.12.06.F</vt:lpstr>
      <vt:lpstr>for_0.12.07.F</vt:lpstr>
      <vt:lpstr>for_0.12.08.F</vt:lpstr>
      <vt:lpstr>for_0.12.09.F</vt:lpstr>
      <vt:lpstr>for_0.18.00.F</vt:lpstr>
      <vt:lpstr>for_0.18.01.F</vt:lpstr>
      <vt:lpstr>for_0.18.02.F</vt:lpstr>
      <vt:lpstr>for_0.18.15.F</vt:lpstr>
      <vt:lpstr>for_0.18.16.F</vt:lpstr>
      <vt:lpstr>for_0.18.17.F</vt:lpstr>
      <vt:lpstr>for_0.18.18.F</vt:lpstr>
      <vt:lpstr>for_0.18.25.F</vt:lpstr>
      <vt:lpstr>for_0.18.26.F</vt:lpstr>
      <vt:lpstr>for_0.18.27.F</vt:lpstr>
      <vt:lpstr>for_0.21.00.F</vt:lpstr>
      <vt:lpstr>for_0.24.00.F</vt:lpstr>
      <vt:lpstr>for_0.24.50.F</vt:lpstr>
      <vt:lpstr>for_0.24.51.F</vt:lpstr>
      <vt:lpstr>for_0.24.70.F</vt:lpstr>
      <vt:lpstr>for_0.27.00.A</vt:lpstr>
      <vt:lpstr>for_0.27.10.A</vt:lpstr>
      <vt:lpstr>for_0.27.20.A</vt:lpstr>
      <vt:lpstr>for_0.27.25.A</vt:lpstr>
      <vt:lpstr>for_0.27.30.A</vt:lpstr>
      <vt:lpstr>for_0.27.31.A</vt:lpstr>
      <vt:lpstr>for_0.27.40.A</vt:lpstr>
      <vt:lpstr>for_0.27.40.F</vt:lpstr>
      <vt:lpstr>for_0.27.41.F</vt:lpstr>
      <vt:lpstr>for_0.30.00.A</vt:lpstr>
      <vt:lpstr>for_0.30.01.A</vt:lpstr>
      <vt:lpstr>for_0.30.15.A</vt:lpstr>
      <vt:lpstr>for_0.30.30.A</vt:lpstr>
      <vt:lpstr>for_0.30.31.A</vt:lpstr>
      <vt:lpstr>for_0.30.45.A</vt:lpstr>
      <vt:lpstr>for_0.30.60.A</vt:lpstr>
      <vt:lpstr>for_0.30.61.A</vt:lpstr>
      <vt:lpstr>for_0.33.00.A</vt:lpstr>
      <vt:lpstr>for_0.33.05.A</vt:lpstr>
      <vt:lpstr>for_0.33.10.A</vt:lpstr>
      <vt:lpstr>for_0.33.15.A</vt:lpstr>
      <vt:lpstr>for_0.33.30.A</vt:lpstr>
      <vt:lpstr>for_0.33.35.A</vt:lpstr>
      <vt:lpstr>for_0.33.36.F</vt:lpstr>
      <vt:lpstr>for_0.36.30.A</vt:lpstr>
      <vt:lpstr>for_0.36.40.A</vt:lpstr>
      <vt:lpstr>for_0.39.00.A</vt:lpstr>
      <vt:lpstr>for_0.39.01.F</vt:lpstr>
      <vt:lpstr>for_0.39.02.F</vt:lpstr>
      <vt:lpstr>for_0.39.03.F</vt:lpstr>
      <vt:lpstr>for_0.39.04.F</vt:lpstr>
      <vt:lpstr>for_0.39.05.F</vt:lpstr>
      <vt:lpstr>for_0.48.00.F</vt:lpstr>
      <vt:lpstr>for_0.48.01.F</vt:lpstr>
      <vt:lpstr>for_0.48.02.F</vt:lpstr>
      <vt:lpstr>for_0.48.20.A</vt:lpstr>
      <vt:lpstr>for_0.54.00.F</vt:lpstr>
      <vt:lpstr>for_0.54.01.F</vt:lpstr>
      <vt:lpstr>for_0.57.00.F</vt:lpstr>
      <vt:lpstr>for_0.57.01.F</vt:lpstr>
      <vt:lpstr>for_0.57.02.F</vt:lpstr>
      <vt:lpstr>for_0.57.03.F</vt:lpstr>
      <vt:lpstr>for_0.57.04.F</vt:lpstr>
      <vt:lpstr>for_0.60.30.A</vt:lpstr>
      <vt:lpstr>for_0.60.30.F</vt:lpstr>
      <vt:lpstr>for_0.60.40.F</vt:lpstr>
      <vt:lpstr>for_0.61.00.A</vt:lpstr>
      <vt:lpstr>for_0.61.31.A</vt:lpstr>
      <vt:lpstr>for_0.63.00.A</vt:lpstr>
      <vt:lpstr>for_0.63.20.A</vt:lpstr>
      <vt:lpstr>for_0.63.20.F</vt:lpstr>
      <vt:lpstr>for_0.72.00.A</vt:lpstr>
      <vt:lpstr>for_0.72.20.A</vt:lpstr>
      <vt:lpstr>for_0.72.30.A</vt:lpstr>
      <vt:lpstr>for_0.72.40.A</vt:lpstr>
      <vt:lpstr>for_0.72.41.F</vt:lpstr>
      <vt:lpstr>for_0.72.42.F</vt:lpstr>
      <vt:lpstr>for_0.72.50.F</vt:lpstr>
      <vt:lpstr>for_0.78.00.A</vt:lpstr>
      <vt:lpstr>for_0.99.01.F</vt:lpstr>
      <vt:lpstr>for_0.99.02.F</vt:lpstr>
      <vt:lpstr>for_0.99.03.F</vt:lpstr>
      <vt:lpstr>for_0.99.04.F</vt:lpstr>
      <vt:lpstr>for_0.99.05.F</vt:lpstr>
      <vt:lpstr>for_0.99.06.F</vt:lpstr>
      <vt:lpstr>for_0.99.07.F</vt:lpstr>
      <vt:lpstr>for_0.99.08.F</vt:lpstr>
      <vt:lpstr>for_0.99.09.F</vt:lpstr>
      <vt:lpstr>for_0.99.10.F</vt:lpstr>
      <vt:lpstr>for_0.99.11.F</vt:lpstr>
      <vt:lpstr>for_1.10.00.F</vt:lpstr>
      <vt:lpstr>for_1.10.01.F</vt:lpstr>
      <vt:lpstr>for_1.10.02.F</vt:lpstr>
      <vt:lpstr>for_1.20.00.F</vt:lpstr>
      <vt:lpstr>for_1.20.01.F</vt:lpstr>
      <vt:lpstr>for_1.40.01.F</vt:lpstr>
      <vt:lpstr>for_1.60.01.F</vt:lpstr>
      <vt:lpstr>for_1.60.02.F</vt:lpstr>
      <vt:lpstr>for_1.60.03.F</vt:lpstr>
      <vt:lpstr>for_1.60.04.F</vt:lpstr>
      <vt:lpstr>for_1.80.01.A</vt:lpstr>
      <vt:lpstr>for_1.80.01.F</vt:lpstr>
      <vt:lpstr>for_1.80.02.F</vt:lpstr>
      <vt:lpstr>for_1.80.03.F</vt:lpstr>
      <vt:lpstr>grua</vt:lpstr>
      <vt:lpstr>Aislaciones!Imprimir_área_IM</vt:lpstr>
      <vt:lpstr>Carpintería!Imprimir_área_IM</vt:lpstr>
      <vt:lpstr>'Cerram ext int'!Imprimir_área_IM</vt:lpstr>
      <vt:lpstr>Cielorrasos!Imprimir_área_IM</vt:lpstr>
      <vt:lpstr>'Estr Resistente'!Imprimir_área_IM</vt:lpstr>
      <vt:lpstr>Fundaciones!Imprimir_área_IM</vt:lpstr>
      <vt:lpstr>'Inst Eléctrica'!Imprimir_área_IM</vt:lpstr>
      <vt:lpstr>'Inst Gas'!Imprimir_área_IM</vt:lpstr>
      <vt:lpstr>'Inst sanitaria'!Imprimir_área_IM</vt:lpstr>
      <vt:lpstr>Pintura!Imprimir_área_IM</vt:lpstr>
      <vt:lpstr>'Red de Agua'!Imprimir_área_IM</vt:lpstr>
      <vt:lpstr>Revestimientos!Imprimir_área_IM</vt:lpstr>
      <vt:lpstr>Revoques!Imprimir_área_IM</vt:lpstr>
      <vt:lpstr>Solados!Imprimir_área_IM</vt:lpstr>
      <vt:lpstr>Techos!Imprimir_área_IM</vt:lpstr>
      <vt:lpstr>Varios!Imprimir_área_IM</vt:lpstr>
      <vt:lpstr>Vidrios!Imprimir_área_IM</vt:lpstr>
      <vt:lpstr>'IN-10-14'!Imprimir_títulos_IM</vt:lpstr>
      <vt:lpstr>Insumos</vt:lpstr>
      <vt:lpstr>listado</vt:lpstr>
      <vt:lpstr>mixer_5m3</vt:lpstr>
      <vt:lpstr>motoniv</vt:lpstr>
      <vt:lpstr>pala_carg</vt:lpstr>
      <vt:lpstr>planta_horm</vt:lpstr>
      <vt:lpstr>PRECIO</vt:lpstr>
      <vt:lpstr>retro</vt:lpstr>
      <vt:lpstr>rfor_0.06.00.F</vt:lpstr>
      <vt:lpstr>rfor_0.06.01.F</vt:lpstr>
      <vt:lpstr>rfor_0.06.02.F</vt:lpstr>
      <vt:lpstr>rfor_0.06.03.F</vt:lpstr>
      <vt:lpstr>rfor_0.06.04.F</vt:lpstr>
      <vt:lpstr>rfor_0.06.06.F</vt:lpstr>
      <vt:lpstr>rfor_0.06.07.F</vt:lpstr>
      <vt:lpstr>rfor_0.06.08.F</vt:lpstr>
      <vt:lpstr>rfor_0.09.01.F</vt:lpstr>
      <vt:lpstr>rfor_0.09.02.F</vt:lpstr>
      <vt:lpstr>rfor_0.09.03.F</vt:lpstr>
      <vt:lpstr>rfor_0.09.04.F</vt:lpstr>
      <vt:lpstr>rfor_0.12.00.F</vt:lpstr>
      <vt:lpstr>rfor_0.12.01.F</vt:lpstr>
      <vt:lpstr>rfor_0.12.02.F</vt:lpstr>
      <vt:lpstr>rfor_0.12.03.F</vt:lpstr>
      <vt:lpstr>rfor_0.12.04.F</vt:lpstr>
      <vt:lpstr>rfor_0.12.05.F</vt:lpstr>
      <vt:lpstr>rfor_0.12.06.F</vt:lpstr>
      <vt:lpstr>rfor_0.12.07.F</vt:lpstr>
      <vt:lpstr>rfor_0.12.08.F</vt:lpstr>
      <vt:lpstr>rfor_0.12.09.F</vt:lpstr>
      <vt:lpstr>rfor_0.18.00.F</vt:lpstr>
      <vt:lpstr>rfor_0.18.01.F</vt:lpstr>
      <vt:lpstr>rfor_0.18.02.F</vt:lpstr>
      <vt:lpstr>rfor_0.18.15.F</vt:lpstr>
      <vt:lpstr>rfor_0.18.16.F</vt:lpstr>
      <vt:lpstr>rfor_0.18.17.F</vt:lpstr>
      <vt:lpstr>rfor_0.18.18.F</vt:lpstr>
      <vt:lpstr>rfor_0.18.25.F</vt:lpstr>
      <vt:lpstr>rfor_0.18.26.F</vt:lpstr>
      <vt:lpstr>rfor_0.18.27.F</vt:lpstr>
      <vt:lpstr>rfor_0.21.00.F</vt:lpstr>
      <vt:lpstr>rfor_0.24.00.F</vt:lpstr>
      <vt:lpstr>rfor_0.24.50.F</vt:lpstr>
      <vt:lpstr>rfor_0.24.51.F</vt:lpstr>
      <vt:lpstr>rfor_0.24.70.F</vt:lpstr>
      <vt:lpstr>rfor_0.27.00.A</vt:lpstr>
      <vt:lpstr>rfor_0.27.10.A</vt:lpstr>
      <vt:lpstr>rfor_0.27.20.A</vt:lpstr>
      <vt:lpstr>rfor_0.27.25.A</vt:lpstr>
      <vt:lpstr>rfor_0.27.30.A</vt:lpstr>
      <vt:lpstr>rfor_0.27.31.A</vt:lpstr>
      <vt:lpstr>rfor_0.27.40.A</vt:lpstr>
      <vt:lpstr>rfor_0.27.40.F</vt:lpstr>
      <vt:lpstr>rfor_0.27.41.F</vt:lpstr>
      <vt:lpstr>rfor_0.30.00.A</vt:lpstr>
      <vt:lpstr>rfor_0.30.01.A</vt:lpstr>
      <vt:lpstr>rfor_0.30.15.A</vt:lpstr>
      <vt:lpstr>rfor_0.30.30.A</vt:lpstr>
      <vt:lpstr>rfor_0.30.31.A</vt:lpstr>
      <vt:lpstr>rfor_0.30.45.A</vt:lpstr>
      <vt:lpstr>rfor_0.30.60.A</vt:lpstr>
      <vt:lpstr>rfor_0.30.61.A</vt:lpstr>
      <vt:lpstr>rfor_0.33.00.A</vt:lpstr>
      <vt:lpstr>rfor_0.33.05.A</vt:lpstr>
      <vt:lpstr>rfor_0.33.10.A</vt:lpstr>
      <vt:lpstr>rfor_0.33.15.A</vt:lpstr>
      <vt:lpstr>rfor_0.33.30.A</vt:lpstr>
      <vt:lpstr>rfor_0.33.35.A</vt:lpstr>
      <vt:lpstr>rfor_0.33.36.F</vt:lpstr>
      <vt:lpstr>rfor_0.36.30.A</vt:lpstr>
      <vt:lpstr>rfor_0.36.40.A</vt:lpstr>
      <vt:lpstr>rfor_0.39.00.A</vt:lpstr>
      <vt:lpstr>rfor_0.39.01.F</vt:lpstr>
      <vt:lpstr>rfor_0.39.02.F</vt:lpstr>
      <vt:lpstr>rfor_0.39.03.F</vt:lpstr>
      <vt:lpstr>rfor_0.39.04.F</vt:lpstr>
      <vt:lpstr>rfor_0.39.05.F</vt:lpstr>
      <vt:lpstr>rfor_0.48.00.F</vt:lpstr>
      <vt:lpstr>rfor_0.48.01.F</vt:lpstr>
      <vt:lpstr>rfor_0.48.02.F</vt:lpstr>
      <vt:lpstr>rfor_0.48.20.A</vt:lpstr>
      <vt:lpstr>rfor_0.54.00.F</vt:lpstr>
      <vt:lpstr>rfor_0.54.01.F</vt:lpstr>
      <vt:lpstr>rfor_0.57.00.F</vt:lpstr>
      <vt:lpstr>rfor_0.57.01.F</vt:lpstr>
      <vt:lpstr>rfor_0.57.02.F</vt:lpstr>
      <vt:lpstr>rfor_0.57.03.F</vt:lpstr>
      <vt:lpstr>rfor_0.57.04.F</vt:lpstr>
      <vt:lpstr>rfor_0.60.30.A</vt:lpstr>
      <vt:lpstr>rfor_0.60.30.F</vt:lpstr>
      <vt:lpstr>rfor_0.60.31.F</vt:lpstr>
      <vt:lpstr>rfor_0.60.40.A</vt:lpstr>
      <vt:lpstr>rfor_0.61.00.A</vt:lpstr>
      <vt:lpstr>rfor_0.63.00.A</vt:lpstr>
      <vt:lpstr>rfor_0.63.20.A</vt:lpstr>
      <vt:lpstr>rfor_0.63.20.F</vt:lpstr>
      <vt:lpstr>rfor_0.72.00.A</vt:lpstr>
      <vt:lpstr>rfor_0.72.20.A</vt:lpstr>
      <vt:lpstr>rfor_0.72.30.A</vt:lpstr>
      <vt:lpstr>rfor_0.72.40.A</vt:lpstr>
      <vt:lpstr>rfor_0.72.41.F</vt:lpstr>
      <vt:lpstr>rfor_0.72.42.F</vt:lpstr>
      <vt:lpstr>rfor_0.72.50.F</vt:lpstr>
      <vt:lpstr>rfor_0.78.00.A</vt:lpstr>
      <vt:lpstr>rfor_0.99.01.F</vt:lpstr>
      <vt:lpstr>rfor_0.99.02.F</vt:lpstr>
      <vt:lpstr>rfor_0.99.03.F</vt:lpstr>
      <vt:lpstr>rfor_0.99.04.F</vt:lpstr>
      <vt:lpstr>rfor_0.99.05.F</vt:lpstr>
      <vt:lpstr>rfor_0.99.06.F</vt:lpstr>
      <vt:lpstr>rfor_0.99.07.F</vt:lpstr>
      <vt:lpstr>rfor_0.99.08.F</vt:lpstr>
      <vt:lpstr>rfor_0.99.09.F</vt:lpstr>
      <vt:lpstr>rfor_0.99.10.F</vt:lpstr>
      <vt:lpstr>rfor_0.99.11.F</vt:lpstr>
      <vt:lpstr>rfor_1.10.00.F</vt:lpstr>
      <vt:lpstr>rfor_1.10.01.F</vt:lpstr>
      <vt:lpstr>rfor_1.10.02.F</vt:lpstr>
      <vt:lpstr>rfor_1.20.00.F</vt:lpstr>
      <vt:lpstr>rfor_1.20.01.F</vt:lpstr>
      <vt:lpstr>rfor_1.40.01.F</vt:lpstr>
      <vt:lpstr>rfor_1.60.01.F</vt:lpstr>
      <vt:lpstr>rfor_1.60.02.F</vt:lpstr>
      <vt:lpstr>rfor_1.60.03.F</vt:lpstr>
      <vt:lpstr>rfor_1.60.04.F</vt:lpstr>
      <vt:lpstr>rfor_1.80.01.A</vt:lpstr>
      <vt:lpstr>rfor_1.80.01.F</vt:lpstr>
      <vt:lpstr>rfor_1.80.02.F</vt:lpstr>
      <vt:lpstr>rfor_1.80.03.F</vt:lpstr>
      <vt:lpstr>rodillo_neum</vt:lpstr>
      <vt:lpstr>'IN-10-14'!Títulos_a_imprimir</vt:lpstr>
      <vt:lpstr>Resumen!Títulos_a_imprimir</vt:lpstr>
      <vt:lpstr>topadora</vt:lpstr>
      <vt:lpstr>topadora_d8k</vt:lpstr>
      <vt:lpstr>ufor_0.06.00.F</vt:lpstr>
      <vt:lpstr>ufor_0.06.01.F</vt:lpstr>
      <vt:lpstr>ufor_0.06.02.F</vt:lpstr>
      <vt:lpstr>ufor_0.06.03.F</vt:lpstr>
      <vt:lpstr>ufor_0.06.04.F</vt:lpstr>
      <vt:lpstr>ufor_0.06.06.F</vt:lpstr>
      <vt:lpstr>ufor_0.06.07.F</vt:lpstr>
      <vt:lpstr>ufor_0.06.08.F</vt:lpstr>
      <vt:lpstr>ufor_0.09.01.F</vt:lpstr>
      <vt:lpstr>ufor_0.09.02.F</vt:lpstr>
      <vt:lpstr>ufor_0.09.03.F</vt:lpstr>
      <vt:lpstr>ufor_0.09.04.F</vt:lpstr>
      <vt:lpstr>ufor_0.12.00.F</vt:lpstr>
      <vt:lpstr>ufor_0.12.01.F</vt:lpstr>
      <vt:lpstr>ufor_0.12.02.F</vt:lpstr>
      <vt:lpstr>ufor_0.12.03.F</vt:lpstr>
      <vt:lpstr>ufor_0.12.04.F</vt:lpstr>
      <vt:lpstr>ufor_0.12.05.F</vt:lpstr>
      <vt:lpstr>ufor_0.12.06.F</vt:lpstr>
      <vt:lpstr>ufor_0.12.07.F</vt:lpstr>
      <vt:lpstr>ufor_0.12.08.F</vt:lpstr>
      <vt:lpstr>ufor_0.12.09.F</vt:lpstr>
      <vt:lpstr>ufor_0.18.00.F</vt:lpstr>
      <vt:lpstr>ufor_0.18.01.F</vt:lpstr>
      <vt:lpstr>ufor_0.18.02.F</vt:lpstr>
      <vt:lpstr>ufor_0.18.15.F</vt:lpstr>
      <vt:lpstr>ufor_0.18.16.F</vt:lpstr>
      <vt:lpstr>ufor_0.18.17.F</vt:lpstr>
      <vt:lpstr>ufor_0.18.18.F</vt:lpstr>
      <vt:lpstr>ufor_0.18.25.F</vt:lpstr>
      <vt:lpstr>ufor_0.18.26.F</vt:lpstr>
      <vt:lpstr>ufor_0.18.27.F</vt:lpstr>
      <vt:lpstr>ufor_0.21.00.F</vt:lpstr>
      <vt:lpstr>ufor_0.24.00.F</vt:lpstr>
      <vt:lpstr>ufor_0.24.50.F</vt:lpstr>
      <vt:lpstr>ufor_0.24.51.F</vt:lpstr>
      <vt:lpstr>ufor_0.24.70.F</vt:lpstr>
      <vt:lpstr>ufor_0.27.00.A</vt:lpstr>
      <vt:lpstr>ufor_0.27.10.A</vt:lpstr>
      <vt:lpstr>ufor_0.27.20.A</vt:lpstr>
      <vt:lpstr>ufor_0.27.25.A</vt:lpstr>
      <vt:lpstr>ufor_0.27.30.A</vt:lpstr>
      <vt:lpstr>ufor_0.27.31.A</vt:lpstr>
      <vt:lpstr>ufor_0.27.40.A</vt:lpstr>
      <vt:lpstr>ufor_0.27.40.F</vt:lpstr>
      <vt:lpstr>ufor_0.27.41.F</vt:lpstr>
      <vt:lpstr>ufor_0.30.00.A</vt:lpstr>
      <vt:lpstr>ufor_0.30.01.A</vt:lpstr>
      <vt:lpstr>ufor_0.30.15.A</vt:lpstr>
      <vt:lpstr>ufor_0.30.30.A</vt:lpstr>
      <vt:lpstr>ufor_0.30.31.A</vt:lpstr>
      <vt:lpstr>ufor_0.30.45.A</vt:lpstr>
      <vt:lpstr>ufor_0.30.60.A</vt:lpstr>
      <vt:lpstr>ufor_0.30.61.A</vt:lpstr>
      <vt:lpstr>ufor_0.33.00.A</vt:lpstr>
      <vt:lpstr>ufor_0.33.05.A</vt:lpstr>
      <vt:lpstr>ufor_0.33.10.A</vt:lpstr>
      <vt:lpstr>ufor_0.33.15.A</vt:lpstr>
      <vt:lpstr>ufor_0.33.30.A</vt:lpstr>
      <vt:lpstr>ufor_0.33.35.A</vt:lpstr>
      <vt:lpstr>ufor_0.33.36.F</vt:lpstr>
      <vt:lpstr>ufor_0.36.30.A</vt:lpstr>
      <vt:lpstr>ufor_0.36.40.A</vt:lpstr>
      <vt:lpstr>ufor_0.39.00.A</vt:lpstr>
      <vt:lpstr>ufor_0.39.01.F</vt:lpstr>
      <vt:lpstr>ufor_0.39.02.F</vt:lpstr>
      <vt:lpstr>ufor_0.39.03.F</vt:lpstr>
      <vt:lpstr>ufor_0.39.04.F</vt:lpstr>
      <vt:lpstr>ufor_0.39.05.F</vt:lpstr>
      <vt:lpstr>ufor_0.48.00.F</vt:lpstr>
      <vt:lpstr>ufor_0.48.01.F</vt:lpstr>
      <vt:lpstr>ufor_0.48.02.F</vt:lpstr>
      <vt:lpstr>ufor_0.48.20.A</vt:lpstr>
      <vt:lpstr>ufor_0.54.00.F</vt:lpstr>
      <vt:lpstr>ufor_0.54.01.F</vt:lpstr>
      <vt:lpstr>ufor_0.57.00.F</vt:lpstr>
      <vt:lpstr>ufor_0.57.01.F</vt:lpstr>
      <vt:lpstr>ufor_0.57.02.F</vt:lpstr>
      <vt:lpstr>ufor_0.57.03.F</vt:lpstr>
      <vt:lpstr>ufor_0.57.04.F</vt:lpstr>
      <vt:lpstr>ufor_0.60.30.A</vt:lpstr>
      <vt:lpstr>ufor_0.60.30.F</vt:lpstr>
      <vt:lpstr>ufor_0.60.31.F</vt:lpstr>
      <vt:lpstr>ufor_0.60.40.A</vt:lpstr>
      <vt:lpstr>ufor_0.61.00.A</vt:lpstr>
      <vt:lpstr>ufor_0.63.00.A</vt:lpstr>
      <vt:lpstr>ufor_0.63.20.A</vt:lpstr>
      <vt:lpstr>ufor_0.63.20.F</vt:lpstr>
      <vt:lpstr>ufor_0.72.00.A</vt:lpstr>
      <vt:lpstr>ufor_0.72.20.A</vt:lpstr>
      <vt:lpstr>ufor_0.72.30.A</vt:lpstr>
      <vt:lpstr>ufor_0.72.40.A</vt:lpstr>
      <vt:lpstr>ufor_0.72.41.F</vt:lpstr>
      <vt:lpstr>ufor_0.72.42.F</vt:lpstr>
      <vt:lpstr>ufor_0.72.50.F</vt:lpstr>
      <vt:lpstr>ufor_0.78.00.A</vt:lpstr>
      <vt:lpstr>ufor_0.99.01.F</vt:lpstr>
      <vt:lpstr>ufor_0.99.02.F</vt:lpstr>
      <vt:lpstr>ufor_0.99.03.F</vt:lpstr>
      <vt:lpstr>ufor_0.99.04.F</vt:lpstr>
      <vt:lpstr>ufor_0.99.05.F</vt:lpstr>
      <vt:lpstr>ufor_0.99.06.F</vt:lpstr>
      <vt:lpstr>ufor_0.99.07.F</vt:lpstr>
      <vt:lpstr>ufor_0.99.08.F</vt:lpstr>
      <vt:lpstr>ufor_0.99.09.F</vt:lpstr>
      <vt:lpstr>ufor_0.99.10.F</vt:lpstr>
      <vt:lpstr>ufor_0.99.11.F</vt:lpstr>
      <vt:lpstr>ufor_1.10.00.F</vt:lpstr>
      <vt:lpstr>ufor_1.10.01.F</vt:lpstr>
      <vt:lpstr>ufor_1.10.02.F</vt:lpstr>
      <vt:lpstr>ufor_1.20.00.F</vt:lpstr>
      <vt:lpstr>ufor_1.20.01.F</vt:lpstr>
      <vt:lpstr>ufor_1.40.01.F</vt:lpstr>
      <vt:lpstr>ufor_1.60.01.F</vt:lpstr>
      <vt:lpstr>ufor_1.60.02.F</vt:lpstr>
      <vt:lpstr>ufor_1.60.03.F</vt:lpstr>
      <vt:lpstr>ufor_1.60.04.F</vt:lpstr>
      <vt:lpstr>ufor_1.80.01.A</vt:lpstr>
      <vt:lpstr>ufor_1.80.01.F</vt:lpstr>
      <vt:lpstr>ufor_1.80.02.F</vt:lpstr>
      <vt:lpstr>ufor_1.80.03.F</vt:lpstr>
      <vt:lpstr>UN.</vt:lpstr>
      <vt:lpstr>vfor_0.06.00.F</vt:lpstr>
      <vt:lpstr>vfor_0.06.01.F</vt:lpstr>
      <vt:lpstr>vfor_0.06.02.F</vt:lpstr>
      <vt:lpstr>vfor_0.06.03.F</vt:lpstr>
      <vt:lpstr>vfor_0.06.04.F</vt:lpstr>
      <vt:lpstr>vfor_0.06.06.F</vt:lpstr>
      <vt:lpstr>vfor_0.06.07.F</vt:lpstr>
      <vt:lpstr>vfor_0.06.08.F</vt:lpstr>
      <vt:lpstr>vfor_0.07.06.F</vt:lpstr>
      <vt:lpstr>vfor_0.09.01.F</vt:lpstr>
      <vt:lpstr>vfor_0.09.02.F</vt:lpstr>
      <vt:lpstr>vfor_0.09.03.F</vt:lpstr>
      <vt:lpstr>vfor_0.09.04.F</vt:lpstr>
      <vt:lpstr>vfor_0.12.00.F</vt:lpstr>
      <vt:lpstr>vfor_0.12.01.F</vt:lpstr>
      <vt:lpstr>vfor_0.12.02.F</vt:lpstr>
      <vt:lpstr>vfor_0.12.03.F</vt:lpstr>
      <vt:lpstr>vfor_0.12.04.F</vt:lpstr>
      <vt:lpstr>vfor_0.12.05.F</vt:lpstr>
      <vt:lpstr>vfor_0.12.06.F</vt:lpstr>
      <vt:lpstr>vfor_0.12.07.F</vt:lpstr>
      <vt:lpstr>vfor_0.12.08.F</vt:lpstr>
      <vt:lpstr>vfor_0.12.09.F</vt:lpstr>
      <vt:lpstr>vfor_0.18.00.F</vt:lpstr>
      <vt:lpstr>vfor_0.18.01.F</vt:lpstr>
      <vt:lpstr>vfor_0.18.02.F</vt:lpstr>
      <vt:lpstr>vfor_0.18.15.F</vt:lpstr>
      <vt:lpstr>vfor_0.18.16.F</vt:lpstr>
      <vt:lpstr>vfor_0.18.17.F</vt:lpstr>
      <vt:lpstr>vfor_0.18.18.F</vt:lpstr>
      <vt:lpstr>vfor_0.18.25.F</vt:lpstr>
      <vt:lpstr>vfor_0.18.26.F</vt:lpstr>
      <vt:lpstr>vfor_0.18.27.F</vt:lpstr>
      <vt:lpstr>vfor_0.21.00.F</vt:lpstr>
      <vt:lpstr>vfor_0.24.00.F</vt:lpstr>
      <vt:lpstr>vfor_0.24.50.F</vt:lpstr>
      <vt:lpstr>vfor_0.24.51.F</vt:lpstr>
      <vt:lpstr>vfor_0.24.70.F</vt:lpstr>
      <vt:lpstr>vfor_0.27.00.A</vt:lpstr>
      <vt:lpstr>vfor_0.27.10.A</vt:lpstr>
      <vt:lpstr>vfor_0.27.20.A</vt:lpstr>
      <vt:lpstr>vfor_0.27.25.A</vt:lpstr>
      <vt:lpstr>vfor_0.27.30.A</vt:lpstr>
      <vt:lpstr>vfor_0.27.31.A</vt:lpstr>
      <vt:lpstr>vfor_0.27.40.A</vt:lpstr>
      <vt:lpstr>vfor_0.27.40.F</vt:lpstr>
      <vt:lpstr>vfor_0.27.41.F</vt:lpstr>
      <vt:lpstr>vfor_0.30.00.A</vt:lpstr>
      <vt:lpstr>vfor_0.30.01.A</vt:lpstr>
      <vt:lpstr>vfor_0.30.15.A</vt:lpstr>
      <vt:lpstr>vfor_0.30.30.A</vt:lpstr>
      <vt:lpstr>vfor_0.30.31.A</vt:lpstr>
      <vt:lpstr>vfor_0.30.45.A</vt:lpstr>
      <vt:lpstr>vfor_0.30.60.A</vt:lpstr>
      <vt:lpstr>vfor_0.30.61.A</vt:lpstr>
      <vt:lpstr>vfor_0.33.00.A</vt:lpstr>
      <vt:lpstr>vfor_0.33.05.A</vt:lpstr>
      <vt:lpstr>vfor_0.33.10.A</vt:lpstr>
      <vt:lpstr>vfor_0.33.15.A</vt:lpstr>
      <vt:lpstr>vfor_0.33.30.A</vt:lpstr>
      <vt:lpstr>vfor_0.33.35.A</vt:lpstr>
      <vt:lpstr>vfor_0.33.36.F</vt:lpstr>
      <vt:lpstr>vfor_0.36.30.A</vt:lpstr>
      <vt:lpstr>vfor_0.36.40.A</vt:lpstr>
      <vt:lpstr>vfor_0.39.00.A</vt:lpstr>
      <vt:lpstr>vfor_0.39.01.F</vt:lpstr>
      <vt:lpstr>vfor_0.39.02.F</vt:lpstr>
      <vt:lpstr>vfor_0.39.03.F</vt:lpstr>
      <vt:lpstr>vfor_0.39.04.F</vt:lpstr>
      <vt:lpstr>vfor_0.39.05.F</vt:lpstr>
      <vt:lpstr>vfor_0.48.00.F</vt:lpstr>
      <vt:lpstr>vfor_0.48.01.F</vt:lpstr>
      <vt:lpstr>vfor_0.48.02.F</vt:lpstr>
      <vt:lpstr>vfor_0.48.20.A</vt:lpstr>
      <vt:lpstr>vfor_0.54.00.F</vt:lpstr>
      <vt:lpstr>vfor_0.54.01.F</vt:lpstr>
      <vt:lpstr>vfor_0.57.00.F</vt:lpstr>
      <vt:lpstr>vfor_0.57.01.F</vt:lpstr>
      <vt:lpstr>vfor_0.57.02.F</vt:lpstr>
      <vt:lpstr>vfor_0.57.03.F</vt:lpstr>
      <vt:lpstr>vfor_0.57.04.F</vt:lpstr>
      <vt:lpstr>vfor_0.60.30.A</vt:lpstr>
      <vt:lpstr>vfor_0.60.30.F</vt:lpstr>
      <vt:lpstr>vfor_0.60.31.F</vt:lpstr>
      <vt:lpstr>vfor_0.60.40.A</vt:lpstr>
      <vt:lpstr>vfor_0.61.00.A</vt:lpstr>
      <vt:lpstr>vfor_0.63.00.A</vt:lpstr>
      <vt:lpstr>vfor_0.63.20.A</vt:lpstr>
      <vt:lpstr>vfor_0.63.20.F</vt:lpstr>
      <vt:lpstr>vfor_0.72.00.A</vt:lpstr>
      <vt:lpstr>vfor_0.72.20.A</vt:lpstr>
      <vt:lpstr>vfor_0.72.30.A</vt:lpstr>
      <vt:lpstr>vfor_0.72.40.A</vt:lpstr>
      <vt:lpstr>vfor_0.72.41.F</vt:lpstr>
      <vt:lpstr>vfor_0.72.42.F</vt:lpstr>
      <vt:lpstr>vfor_0.72.50.F</vt:lpstr>
      <vt:lpstr>vfor_0.78.00.A</vt:lpstr>
      <vt:lpstr>vfor_0.99.01.F</vt:lpstr>
      <vt:lpstr>vfor_0.99.02.F</vt:lpstr>
      <vt:lpstr>vfor_0.99.03.F</vt:lpstr>
      <vt:lpstr>vfor_0.99.04.F</vt:lpstr>
      <vt:lpstr>vfor_0.99.05.F</vt:lpstr>
      <vt:lpstr>vfor_0.99.06.F</vt:lpstr>
      <vt:lpstr>vfor_0.99.07.F</vt:lpstr>
      <vt:lpstr>vfor_0.99.08.F</vt:lpstr>
      <vt:lpstr>vfor_0.99.09.F</vt:lpstr>
      <vt:lpstr>vfor_0.99.10.F</vt:lpstr>
      <vt:lpstr>vfor_0.99.11.F</vt:lpstr>
      <vt:lpstr>vfor_1.10.00.F</vt:lpstr>
      <vt:lpstr>vfor_1.10.01.F</vt:lpstr>
      <vt:lpstr>vfor_1.10.02.F</vt:lpstr>
      <vt:lpstr>vfor_1.20.00.F</vt:lpstr>
      <vt:lpstr>vfor_1.20.01.F</vt:lpstr>
      <vt:lpstr>vfor_1.40.01.F</vt:lpstr>
      <vt:lpstr>vfor_1.60.01.F</vt:lpstr>
      <vt:lpstr>vfor_1.60.02.F</vt:lpstr>
      <vt:lpstr>vfor_1.60.03.F</vt:lpstr>
      <vt:lpstr>vfor_1.60.04.F</vt:lpstr>
      <vt:lpstr>vfor_1.80.01.A</vt:lpstr>
      <vt:lpstr>vfor_1.80.01.F</vt:lpstr>
      <vt:lpstr>vfor_1.80.02.F</vt:lpstr>
      <vt:lpstr>vfor_1.80.03.F</vt:lpstr>
      <vt:lpstr>vibrocom_autop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Vivienda</dc:creator>
  <cp:lastModifiedBy>Administrador</cp:lastModifiedBy>
  <cp:lastPrinted>2014-08-07T21:21:07Z</cp:lastPrinted>
  <dcterms:created xsi:type="dcterms:W3CDTF">2002-02-11T21:12:54Z</dcterms:created>
  <dcterms:modified xsi:type="dcterms:W3CDTF">2015-01-08T14:19:49Z</dcterms:modified>
</cp:coreProperties>
</file>