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0"/>
  </bookViews>
  <sheets>
    <sheet name="Resumen" sheetId="1" r:id="rId1"/>
    <sheet name="IN-12-11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Key1" hidden="1">'IN-12-11'!$A$7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'IN-12-11'!$A$6:$E$8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'IN-12-11'!$A$6:$A$238</definedName>
    <definedName name="DESCRIPCION">'IN-12-11'!$B$6:$B$238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'IN-12-11'!$D$3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'IN-12-11'!$1:$5</definedName>
    <definedName name="Insumos">'IN-12-11'!$A$5:$D$441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'IN-12-11'!$E$6:$E$238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'IN-12-11'!$1:$5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'IN-12-11'!$C$6:$C$238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'IN-12-11'!$A$1:$E$238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'IN-12-11'!$A$1:$E$238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'IN-12-11'!$A$1:$E$238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'IN-12-11'!$1:$5</definedName>
    <definedName name="Z_D8392041_DA66_4755_A670_C1D45774EC77_.wvu.Cols" localSheetId="1" hidden="1">'IN-12-11'!$E:$O</definedName>
    <definedName name="Z_D8392041_DA66_4755_A670_C1D45774EC77_.wvu.Cols" localSheetId="0" hidden="1">'Resumen'!$G:$G</definedName>
    <definedName name="Z_D8392041_DA66_4755_A670_C1D45774EC77_.wvu.FilterData" localSheetId="1" hidden="1">'IN-12-11'!$A$1:$E$238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'IN-12-11'!$A$1:$G$441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-12-11'!$28:$28,'IN-12-11'!$50:$50,'IN-12-11'!$57:$57,'IN-12-11'!$88:$90,'IN-12-11'!$93:$95,'IN-12-11'!$99:$99,'IN-12-11'!$101:$101,'IN-12-11'!$103:$104,'IN-12-11'!$107:$107,'IN-12-11'!$132:$132,'IN-12-11'!$134:$134,'IN-12-11'!$136:$136,'IN-12-11'!$138:$138,'IN-12-11'!$140:$140,'IN-12-11'!$142:$142,'IN-12-11'!$144:$144,'IN-12-11'!$146:$146,'IN-12-11'!$148:$148,'IN-12-11'!$150:$150,'IN-12-11'!$152:$152,'IN-12-11'!$154:$154,'IN-12-11'!$156:$156,'IN-12-11'!$158:$158,'IN-12-11'!$160:$160,'IN-12-11'!$162:$162,'IN-12-11'!$164:$164,'IN-12-11'!$166:$166,'IN-12-11'!$168:$168,'IN-12-11'!$170:$170,'IN-12-11'!$173:$173,'IN-12-11'!$175:$175,'IN-12-11'!$177:$177,'IN-12-11'!$179:$179,'IN-12-11'!$181:$181,'IN-12-11'!$183:$183,'IN-12-11'!$185:$185,'IN-12-11'!$220:$224,'IN-12-11'!$227:$229,'IN-12-11'!$231:$231,'IN-12-11'!$251:$251,'IN-12-11'!$343:$347,'IN-12-11'!$355:$356,'IN-12-11'!$368:$368,'IN-12-11'!$409:$410,'IN-12-11'!$415:$415,'IN-12-11'!$426:$428,'IN-12-11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<sst xmlns="http://schemas.openxmlformats.org/spreadsheetml/2006/main" count="5080" uniqueCount="2066">
  <si>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</si>
  <si>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</si>
  <si>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</si>
  <si>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</si>
  <si>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</si>
  <si>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</si>
  <si>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</si>
  <si>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</si>
  <si>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</si>
  <si>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</si>
  <si>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</si>
  <si>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</si>
  <si>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</si>
  <si>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</si>
  <si>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</si>
  <si>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</si>
  <si>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</si>
  <si>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</si>
  <si>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</si>
  <si>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</si>
  <si>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</si>
  <si>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</si>
  <si>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</si>
  <si>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</si>
  <si>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</si>
  <si>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</si>
  <si>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</si>
  <si>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</si>
  <si>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</si>
  <si>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</si>
  <si>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</si>
  <si>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</si>
  <si>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</si>
  <si>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</si>
  <si>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</si>
  <si>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</si>
  <si>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</si>
  <si>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</si>
  <si>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</si>
  <si>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</si>
  <si>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</si>
  <si>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</si>
  <si>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</si>
  <si>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</si>
  <si>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</si>
  <si>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</si>
  <si>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</si>
  <si>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</si>
  <si>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</si>
  <si>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</si>
  <si>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</si>
  <si>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</si>
  <si>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</si>
  <si>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</si>
  <si>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</si>
  <si>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</si>
  <si>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</si>
  <si>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</si>
  <si>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</si>
  <si>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</si>
  <si>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</si>
  <si>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</si>
  <si>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</si>
  <si>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</si>
  <si>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</si>
  <si>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</si>
  <si>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</si>
  <si>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</si>
  <si>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</si>
  <si>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</si>
  <si>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</si>
  <si>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</si>
  <si>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</si>
  <si>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</si>
  <si>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</si>
  <si>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</si>
  <si>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</si>
  <si>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</si>
  <si>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</si>
  <si>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</si>
  <si>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</si>
  <si>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</si>
  <si>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</si>
  <si>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</si>
  <si>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</si>
  <si>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</si>
  <si>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</si>
  <si>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</si>
  <si>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</si>
  <si>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</si>
  <si>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</si>
  <si>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</si>
  <si>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</si>
  <si>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</si>
  <si>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</si>
  <si>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</si>
  <si>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</si>
  <si>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</si>
  <si>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</si>
  <si>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</si>
  <si>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</si>
  <si>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</si>
  <si>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</si>
  <si>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</si>
  <si>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</si>
  <si>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</si>
  <si>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</si>
  <si>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</si>
  <si>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</si>
  <si>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</si>
  <si>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</si>
  <si>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</si>
  <si>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</si>
  <si>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</si>
  <si>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</si>
  <si>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</si>
  <si>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</si>
  <si>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</si>
  <si>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</si>
  <si>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</si>
  <si>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</si>
  <si>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</si>
  <si>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</si>
  <si>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</si>
  <si>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</si>
  <si>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</si>
  <si>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</si>
  <si>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</si>
  <si>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</si>
  <si>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</si>
  <si>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</si>
  <si>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</si>
  <si>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</si>
  <si>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</si>
  <si>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</si>
  <si>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</si>
  <si>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</si>
  <si>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</si>
  <si>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</si>
  <si>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</si>
  <si>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</si>
  <si>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</si>
  <si>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</si>
  <si>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</si>
  <si>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</si>
  <si>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</si>
  <si>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</si>
  <si>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</si>
  <si>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</si>
  <si>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</si>
  <si>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</si>
  <si>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</si>
  <si>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</si>
  <si>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</si>
  <si>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</si>
  <si>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</si>
  <si>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</si>
  <si>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</si>
  <si>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</si>
  <si>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</si>
  <si>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</si>
  <si>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</si>
  <si>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</si>
  <si>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</si>
  <si>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</si>
  <si>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</si>
  <si>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</si>
  <si>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</si>
  <si>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</si>
  <si>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</si>
  <si>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</si>
  <si>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</si>
  <si>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</si>
  <si>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</si>
  <si>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</si>
  <si>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</si>
  <si>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</si>
  <si>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</si>
  <si>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</si>
  <si>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</si>
  <si>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</si>
  <si>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</si>
  <si>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</si>
  <si>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</si>
  <si>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</si>
  <si>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</si>
  <si>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</si>
  <si>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</si>
  <si>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</si>
  <si>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</si>
  <si>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</si>
  <si>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</si>
  <si>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</si>
  <si>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</si>
  <si>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</si>
  <si>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</si>
  <si>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</si>
  <si>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</si>
  <si>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</si>
  <si>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</si>
  <si>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</si>
  <si>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</si>
  <si>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</si>
  <si>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</si>
  <si>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</si>
  <si>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</si>
  <si>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</si>
  <si>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</si>
  <si>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</si>
  <si>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</si>
  <si>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</si>
  <si>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</si>
  <si>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</si>
  <si>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</si>
  <si>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</si>
  <si>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</si>
  <si>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</si>
  <si>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</si>
  <si>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</si>
  <si>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</si>
  <si>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</si>
  <si>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</si>
  <si>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</si>
  <si>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</si>
  <si>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</si>
  <si>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</si>
  <si>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</si>
  <si>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</si>
  <si>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</si>
  <si>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</si>
  <si>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</si>
  <si>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</si>
  <si>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</si>
  <si>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</si>
  <si>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</si>
  <si>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</si>
  <si>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</si>
  <si>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</si>
  <si>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</si>
  <si>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</si>
  <si>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</si>
  <si>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</si>
  <si>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</si>
  <si>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</si>
  <si>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</si>
  <si>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</si>
  <si>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</si>
  <si>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</si>
  <si>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</si>
  <si>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</si>
  <si>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</si>
  <si>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</si>
  <si>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</si>
  <si>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</si>
  <si>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</si>
  <si>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</si>
  <si>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</si>
  <si>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</si>
  <si>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</si>
  <si>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</si>
  <si>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</si>
  <si>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</si>
  <si>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</si>
  <si>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</si>
  <si>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</si>
  <si>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</si>
  <si>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</si>
  <si>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</si>
  <si>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</si>
  <si>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</si>
  <si>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</si>
  <si>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</si>
  <si>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</si>
  <si>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</si>
  <si>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</si>
  <si>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</si>
  <si>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</si>
  <si>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</si>
  <si>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</si>
  <si>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</si>
  <si>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</si>
  <si>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</si>
  <si>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</si>
  <si>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</si>
  <si>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</si>
  <si>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</si>
  <si>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</si>
  <si>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</si>
  <si>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</si>
  <si>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</si>
  <si>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</si>
  <si>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</si>
  <si>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</si>
  <si>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</si>
  <si>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</si>
  <si>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</si>
  <si>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</si>
  <si>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</si>
  <si>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</si>
  <si>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</si>
  <si>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</si>
  <si>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</si>
  <si>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</si>
  <si>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</si>
  <si>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</si>
  <si>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</si>
  <si>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</si>
  <si>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</si>
  <si>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</si>
  <si>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</si>
  <si>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</si>
  <si>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</si>
  <si>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</si>
  <si>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</si>
  <si>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</si>
  <si>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</si>
  <si>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</si>
  <si>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</si>
  <si>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</si>
  <si>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</si>
  <si>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</si>
  <si>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</si>
  <si>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</si>
  <si>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</si>
  <si>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</si>
  <si>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</si>
  <si>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</si>
  <si>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</si>
  <si>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</si>
  <si>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</si>
  <si>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</si>
  <si>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</si>
  <si>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</si>
  <si>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</si>
  <si>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</si>
  <si>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</si>
  <si>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</si>
  <si>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</si>
  <si>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</si>
  <si>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</si>
  <si>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</si>
  <si>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</si>
  <si>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</si>
  <si>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</si>
  <si>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</si>
  <si>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</si>
  <si>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</si>
  <si>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</si>
  <si>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</si>
  <si>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</si>
  <si>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</si>
  <si>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</si>
  <si>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</si>
  <si>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</si>
  <si>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</si>
  <si>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</si>
  <si>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</si>
  <si>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</si>
  <si>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</si>
  <si>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</si>
  <si>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</si>
  <si>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</si>
  <si>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</si>
  <si>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</si>
  <si>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</si>
  <si>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</si>
  <si>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</si>
  <si>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</si>
  <si>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</si>
  <si>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</si>
  <si>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</si>
  <si>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</si>
  <si>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</si>
  <si>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</si>
  <si>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</si>
  <si>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</si>
  <si>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</si>
  <si>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</si>
  <si>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</si>
  <si>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</si>
  <si>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</si>
  <si>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</si>
  <si>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</si>
  <si>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</si>
  <si>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</si>
  <si>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</si>
  <si>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</si>
  <si>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</si>
  <si>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</si>
  <si>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</si>
  <si>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</si>
  <si>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</si>
  <si>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</si>
  <si>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</si>
  <si>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</si>
  <si>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</si>
  <si>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</si>
  <si>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</si>
  <si>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</si>
  <si>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</si>
  <si>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</si>
  <si>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</si>
  <si>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</si>
  <si>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</si>
  <si>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</si>
  <si>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</si>
  <si>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</si>
  <si>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</si>
  <si>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</si>
  <si>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</si>
  <si>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</si>
  <si>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</si>
  <si>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</si>
  <si>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</si>
  <si>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</si>
  <si>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</si>
  <si>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</si>
  <si>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</si>
  <si>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</si>
  <si>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</si>
  <si>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</si>
  <si>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</si>
  <si>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</si>
  <si>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</si>
  <si>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</si>
  <si>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</si>
  <si>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</si>
  <si>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</si>
  <si>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</si>
  <si>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</si>
  <si>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</si>
  <si>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</si>
  <si>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</si>
  <si>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</si>
  <si>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</si>
  <si>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</si>
  <si>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</si>
  <si>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</si>
  <si>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</si>
  <si>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</si>
  <si>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</si>
  <si>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</si>
  <si>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</si>
  <si>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</si>
  <si>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</si>
  <si>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</si>
  <si>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</si>
  <si>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</si>
  <si>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</si>
  <si>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</si>
  <si>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</si>
  <si>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</si>
  <si>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</si>
  <si>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</si>
  <si>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</si>
  <si>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</si>
  <si>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</si>
  <si>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</si>
  <si>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</si>
  <si>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</si>
  <si>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</si>
  <si>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</si>
  <si>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</si>
  <si>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</si>
  <si>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</si>
  <si>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</si>
  <si>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</si>
  <si>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</si>
  <si>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</si>
  <si>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</si>
  <si>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</si>
  <si>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</si>
  <si>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</si>
  <si>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</si>
  <si>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</si>
  <si>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</si>
  <si>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</si>
  <si>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</si>
  <si>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</si>
  <si>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</si>
  <si>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</si>
  <si>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</si>
  <si>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</si>
  <si>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</si>
  <si>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</si>
  <si>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</si>
  <si>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</si>
  <si>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</si>
  <si>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</si>
  <si>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</si>
  <si>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</si>
  <si>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</si>
  <si>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</si>
  <si>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</si>
  <si>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</si>
  <si>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</si>
  <si>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</si>
  <si>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</si>
  <si>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</si>
  <si>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</si>
  <si>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</si>
  <si>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</si>
  <si>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</si>
  <si>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</si>
  <si>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</si>
  <si>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</si>
  <si>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</si>
  <si>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</si>
  <si>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</si>
  <si>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</si>
  <si>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</si>
  <si>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</si>
  <si>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</si>
  <si>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</si>
  <si>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</si>
  <si>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</si>
  <si>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</si>
  <si>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</si>
  <si>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</si>
  <si>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</si>
  <si>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</si>
  <si>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</si>
  <si>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</si>
  <si>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</si>
  <si>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</si>
  <si>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</si>
  <si>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</si>
  <si>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</si>
  <si>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</si>
  <si>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</si>
  <si>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</si>
  <si>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</si>
  <si>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</si>
  <si>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</si>
  <si>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</si>
  <si>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</si>
  <si>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</si>
  <si>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</si>
  <si>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</si>
  <si>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</si>
  <si>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</si>
  <si>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</si>
  <si>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</si>
  <si>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</si>
  <si>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</si>
  <si>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</si>
  <si>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Puerta tablero 0,90 x 2,00 cedro</t>
  </si>
  <si>
    <t>ca.001b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</si>
  <si>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</si>
  <si>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</si>
  <si>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</si>
  <si>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</si>
  <si>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</si>
  <si>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</si>
  <si>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</si>
  <si>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</si>
  <si>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</si>
  <si>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</si>
  <si>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</si>
  <si>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</si>
  <si>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</si>
  <si>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</si>
  <si>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</si>
  <si>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</si>
  <si>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</si>
  <si>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</si>
  <si>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</si>
  <si>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</si>
  <si>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</si>
  <si>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</si>
  <si>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</si>
  <si>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</si>
  <si>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</si>
  <si>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</si>
  <si>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</si>
  <si>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</si>
  <si>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</si>
  <si>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</si>
  <si>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</si>
  <si>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</si>
  <si>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</si>
  <si>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</si>
  <si>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</si>
  <si>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</si>
  <si>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</si>
  <si>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</si>
  <si>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</si>
  <si>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</si>
  <si>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</si>
  <si>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</si>
  <si>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</si>
  <si>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</si>
  <si>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</si>
  <si>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</si>
  <si>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</si>
  <si>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</si>
  <si>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</si>
  <si>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</si>
  <si>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</si>
  <si>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</si>
  <si>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</si>
  <si>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</si>
  <si>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</si>
  <si>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</si>
  <si>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</si>
  <si>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</si>
  <si>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</si>
  <si>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</si>
  <si>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</si>
  <si>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</si>
  <si>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</si>
  <si>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</si>
  <si>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</si>
  <si>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</si>
  <si>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</si>
  <si>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</si>
  <si>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</si>
  <si>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</si>
  <si>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</si>
  <si>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</si>
  <si>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</si>
  <si>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</si>
  <si>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</si>
  <si>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</si>
  <si>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</si>
  <si>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</si>
  <si>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</si>
  <si>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</si>
  <si>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</si>
  <si>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</si>
  <si>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</si>
  <si>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</si>
  <si>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</si>
  <si>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</si>
  <si>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</si>
  <si>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</si>
  <si>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</si>
  <si>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</si>
  <si>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</si>
  <si>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</si>
  <si>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</si>
  <si>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</si>
  <si>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</si>
  <si>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</si>
  <si>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</si>
  <si>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</si>
  <si>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</si>
  <si>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</si>
  <si>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</si>
  <si>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</si>
  <si>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</si>
  <si>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</si>
  <si>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</si>
  <si>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</si>
  <si>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</si>
  <si>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</si>
  <si>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</si>
  <si>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</si>
  <si>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</si>
  <si>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</si>
  <si>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</si>
  <si>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</si>
  <si>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</si>
  <si>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</si>
  <si>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</si>
  <si>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</si>
  <si>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</si>
  <si>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</si>
  <si>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</si>
  <si>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</si>
  <si>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</si>
  <si>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</si>
  <si>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</si>
  <si>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</si>
  <si>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</si>
  <si>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</si>
  <si>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</si>
  <si>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</si>
  <si>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</si>
  <si>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</si>
  <si>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</si>
  <si>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</si>
  <si>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</si>
  <si>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</si>
  <si>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</si>
  <si>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</si>
  <si>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</si>
  <si>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</si>
  <si>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</si>
  <si>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</si>
  <si>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</si>
  <si>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</si>
  <si>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</si>
  <si>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</si>
  <si>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</si>
  <si>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</si>
  <si>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</si>
  <si>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</si>
  <si>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</si>
  <si>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</si>
  <si>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</si>
  <si>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</si>
  <si>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</si>
  <si>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</si>
  <si>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</si>
  <si>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</si>
  <si>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</si>
  <si>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</si>
  <si>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</si>
  <si>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</si>
  <si>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</si>
  <si>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</si>
  <si>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</si>
  <si>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</si>
  <si>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</si>
  <si>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</si>
  <si>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</si>
  <si>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</si>
  <si>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</si>
  <si>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</si>
  <si>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</si>
  <si>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</si>
  <si>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</si>
  <si>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</si>
  <si>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</si>
  <si>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</si>
  <si>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</si>
  <si>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</si>
  <si>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</si>
  <si>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</si>
  <si>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</si>
  <si>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</si>
  <si>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</si>
  <si>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</si>
  <si>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</si>
  <si>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</si>
  <si>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</si>
  <si>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</si>
  <si>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</si>
  <si>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</si>
  <si>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</si>
  <si>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</si>
  <si>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</si>
  <si>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</si>
  <si>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</si>
  <si>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</si>
  <si>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</si>
  <si>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</si>
  <si>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</si>
  <si>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</si>
  <si>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</si>
  <si>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</si>
  <si>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</si>
  <si>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</si>
  <si>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</si>
  <si>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</si>
  <si>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</si>
  <si>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</si>
  <si>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</si>
  <si>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</si>
  <si>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</si>
  <si>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</si>
  <si>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</si>
  <si>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</si>
  <si>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</si>
  <si>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</si>
  <si>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</si>
  <si>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</si>
  <si>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</si>
  <si>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</si>
  <si>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</si>
  <si>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</si>
  <si>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</si>
  <si>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</si>
  <si>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</si>
  <si>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</si>
  <si>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</si>
  <si>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</si>
  <si>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</si>
  <si>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</si>
  <si>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</si>
  <si>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li.001b</t>
  </si>
  <si>
    <t>Adhesivo p/piso cerámico Weber 30 kg (A partir de 07/06)</t>
  </si>
  <si>
    <t>li.002</t>
  </si>
  <si>
    <t>pastina p/ceramicos blanca</t>
  </si>
  <si>
    <t>li.003</t>
  </si>
  <si>
    <t>Pastina p/ceramicos color</t>
  </si>
  <si>
    <t>li.004b</t>
  </si>
  <si>
    <t>Cal hidratada en bolsa 25 kg (A partir de 07/06)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</si>
  <si>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</si>
  <si>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</si>
  <si>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</si>
  <si>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</si>
  <si>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</si>
  <si>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</si>
  <si>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</si>
  <si>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</si>
  <si>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</si>
  <si>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</si>
  <si>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</si>
  <si>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</si>
  <si>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</si>
  <si>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pb.010b</t>
  </si>
  <si>
    <t>Cuerpo motorarg CFD 669/30  30H.P. (A partir de 04/05)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</si>
  <si>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</si>
  <si>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</si>
  <si>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</si>
  <si>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</si>
  <si>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</si>
  <si>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</si>
  <si>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</si>
  <si>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</si>
  <si>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</si>
  <si>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</si>
  <si>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</si>
  <si>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</si>
  <si>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</si>
  <si>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</si>
  <si>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</si>
  <si>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</si>
  <si>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</si>
  <si>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</si>
  <si>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</si>
  <si>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</si>
  <si>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</si>
  <si>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</si>
  <si>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</si>
  <si>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</si>
  <si>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</si>
  <si>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</si>
  <si>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</si>
  <si>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</si>
  <si>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</si>
  <si>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</si>
  <si>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</si>
  <si>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</si>
  <si>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</si>
  <si>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</si>
  <si>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</si>
  <si>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</si>
  <si>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</si>
  <si>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</si>
  <si>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</si>
  <si>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</si>
  <si>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</si>
  <si>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</si>
  <si>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</si>
  <si>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</si>
  <si>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</si>
  <si>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</si>
  <si>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</si>
  <si>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</si>
  <si>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</si>
  <si>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</si>
  <si>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</si>
  <si>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</si>
  <si>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</si>
  <si>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</si>
  <si>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</si>
  <si>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</si>
  <si>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</si>
  <si>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</si>
  <si>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</si>
  <si>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</si>
  <si>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</si>
  <si>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</si>
  <si>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</si>
  <si>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</si>
  <si>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</si>
  <si>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</si>
  <si>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</si>
  <si>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</si>
  <si>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</si>
  <si>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</si>
  <si>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</si>
  <si>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</si>
  <si>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</si>
  <si>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</si>
  <si>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</si>
  <si>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</si>
  <si>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</si>
  <si>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</si>
  <si>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</si>
  <si>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</si>
  <si>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</si>
  <si>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</si>
  <si>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</si>
  <si>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</si>
  <si>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</si>
  <si>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</si>
  <si>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</si>
  <si>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</si>
  <si>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</si>
  <si>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</si>
  <si>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</si>
  <si>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</si>
  <si>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</si>
  <si>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</si>
  <si>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</si>
  <si>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</si>
  <si>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</si>
  <si>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</si>
  <si>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</si>
  <si>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</si>
  <si>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</si>
  <si>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</si>
  <si>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</si>
  <si>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</si>
  <si>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</si>
  <si>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</si>
  <si>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</si>
  <si>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</si>
  <si>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</si>
  <si>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</si>
  <si>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</si>
  <si>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</si>
  <si>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</si>
  <si>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</si>
  <si>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</si>
  <si>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</si>
  <si>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</si>
  <si>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</si>
  <si>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</si>
  <si>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</si>
  <si>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</si>
  <si>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</si>
  <si>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</si>
  <si>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</si>
  <si>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</si>
  <si>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</si>
  <si>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</si>
  <si>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</si>
  <si>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</si>
  <si>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</si>
  <si>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</si>
  <si>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</si>
  <si>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</si>
  <si>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</si>
  <si>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</si>
  <si>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</si>
  <si>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</si>
  <si>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</si>
  <si>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</si>
  <si>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</si>
  <si>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</si>
  <si>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</si>
  <si>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</si>
  <si>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</si>
  <si>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</si>
  <si>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</si>
  <si>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</si>
  <si>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</si>
  <si>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</si>
  <si>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</si>
  <si>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</si>
  <si>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</si>
  <si>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</si>
  <si>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</si>
  <si>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</si>
  <si>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</si>
  <si>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</si>
  <si>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</si>
  <si>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</si>
  <si>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</si>
  <si>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</si>
  <si>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</si>
  <si>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</si>
  <si>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</si>
  <si>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</si>
  <si>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</si>
  <si>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</si>
  <si>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</si>
  <si>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</si>
  <si>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</si>
  <si>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</si>
  <si>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</si>
  <si>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</si>
  <si>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</si>
  <si>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</si>
  <si>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</si>
  <si>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</si>
  <si>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</si>
  <si>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</si>
  <si>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</si>
  <si>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</si>
  <si>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</si>
  <si>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</si>
  <si>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</si>
  <si>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</si>
  <si>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</si>
  <si>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</si>
  <si>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</si>
  <si>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</si>
  <si>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</si>
  <si>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</si>
  <si>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</si>
  <si>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</si>
  <si>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</si>
  <si>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</si>
  <si>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</si>
  <si>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</si>
  <si>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</si>
  <si>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</si>
  <si>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</si>
  <si>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</si>
  <si>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</si>
  <si>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</si>
  <si>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</si>
  <si>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</si>
  <si>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</si>
  <si>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</si>
  <si>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</si>
  <si>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</si>
  <si>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</si>
  <si>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</si>
  <si>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</si>
  <si>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</si>
  <si>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</si>
  <si>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</si>
  <si>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</si>
  <si>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</si>
  <si>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</si>
  <si>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</si>
  <si>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</si>
  <si>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</si>
  <si>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</si>
  <si>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</si>
  <si>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</si>
  <si>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</si>
  <si>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</si>
  <si>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</si>
  <si>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</si>
  <si>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</si>
  <si>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</si>
  <si>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</si>
  <si>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</si>
  <si>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</si>
  <si>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</si>
  <si>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</si>
  <si>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</si>
  <si>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uno.eq</t>
  </si>
  <si>
    <t>Constante 1 (Uno)</t>
  </si>
  <si>
    <t>uno.ma</t>
  </si>
  <si>
    <t>uno.mo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</si>
  <si>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</si>
  <si>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</si>
  <si>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</si>
  <si>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</si>
  <si>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</si>
  <si>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</si>
  <si>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</si>
  <si>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</si>
  <si>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</si>
  <si>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</si>
  <si>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</si>
  <si>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</si>
  <si>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ad.003</t>
  </si>
  <si>
    <t>Combustible Tipo  IFO</t>
  </si>
  <si>
    <t>eq.301</t>
  </si>
  <si>
    <t>ai.011</t>
  </si>
  <si>
    <t>Membrana HDPE 60 Esp. 1,5 mm, Lisa, Calidad GM13 (m2)</t>
  </si>
  <si>
    <t>ERROR</t>
  </si>
  <si>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</si>
  <si>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</si>
  <si>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</si>
  <si>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</si>
  <si>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</si>
  <si>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</si>
  <si>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</si>
  <si>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</si>
  <si>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</si>
  <si>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</si>
  <si>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</si>
  <si>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</si>
  <si>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</si>
  <si>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</si>
  <si>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</si>
  <si>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</si>
  <si>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</si>
  <si>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</si>
  <si>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</si>
  <si>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</si>
  <si>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</si>
  <si>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</si>
  <si>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</si>
  <si>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</si>
  <si>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</si>
  <si>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</si>
  <si>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</si>
  <si>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</si>
  <si>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</si>
  <si>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</si>
  <si>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</si>
  <si>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</si>
  <si>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</si>
  <si>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</si>
  <si>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</si>
  <si>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</si>
  <si>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</si>
  <si>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</si>
  <si>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</si>
  <si>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</si>
  <si>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</si>
  <si>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</si>
  <si>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</si>
  <si>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</si>
  <si>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</si>
  <si>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</si>
  <si>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</si>
  <si>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</si>
  <si>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</si>
  <si>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</si>
  <si>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</si>
  <si>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</si>
  <si>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</si>
  <si>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</si>
  <si>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</si>
  <si>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</si>
  <si>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</si>
  <si>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</si>
  <si>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</si>
  <si>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</si>
  <si>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</si>
  <si>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</si>
  <si>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</si>
  <si>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</si>
  <si>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</si>
  <si>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</si>
  <si>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</si>
  <si>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</si>
  <si>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</si>
  <si>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</si>
  <si>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</si>
  <si>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</si>
  <si>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</si>
  <si>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</si>
  <si>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</si>
  <si>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</si>
  <si>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</si>
  <si>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</si>
  <si>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</si>
  <si>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</si>
  <si>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</si>
  <si>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</si>
  <si>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</si>
  <si>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</si>
  <si>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</si>
  <si>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</si>
  <si>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</si>
  <si>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</si>
  <si>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</si>
  <si>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</si>
  <si>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</si>
  <si>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</si>
  <si>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</si>
  <si>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</si>
  <si>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</si>
  <si>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</si>
  <si>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</si>
  <si>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</si>
  <si>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</si>
  <si>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</si>
  <si>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</si>
  <si>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</si>
  <si>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</si>
  <si>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</si>
  <si>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</si>
  <si>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</si>
  <si>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</si>
  <si>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</si>
  <si>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</si>
  <si>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</si>
  <si>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</si>
  <si>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</si>
  <si>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</si>
  <si>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</si>
  <si>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</si>
  <si>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</si>
  <si>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</si>
  <si>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</si>
  <si>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</si>
  <si>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</si>
  <si>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</si>
  <si>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</si>
  <si>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</si>
  <si>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</si>
  <si>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</si>
  <si>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</si>
  <si>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</si>
  <si>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</si>
  <si>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</si>
  <si>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</si>
  <si>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</si>
  <si>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</si>
  <si>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</si>
  <si>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</si>
  <si>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</si>
  <si>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</si>
  <si>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</si>
  <si>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</si>
  <si>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</si>
  <si>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</si>
  <si>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</si>
  <si>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</si>
  <si>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</si>
  <si>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</si>
  <si>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</si>
  <si>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</si>
  <si>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</si>
  <si>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</si>
  <si>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</si>
  <si>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</si>
  <si>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</si>
  <si>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</si>
  <si>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</si>
  <si>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</si>
  <si>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</si>
  <si>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</si>
  <si>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</si>
  <si>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</si>
  <si>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</si>
  <si>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</si>
  <si>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</si>
  <si>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</si>
  <si>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</si>
  <si>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</si>
  <si>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</si>
  <si>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</si>
  <si>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</si>
  <si>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</si>
  <si>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</si>
  <si>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</si>
  <si>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</si>
  <si>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</si>
  <si>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</si>
  <si>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</si>
  <si>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</si>
  <si>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</si>
  <si>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</si>
  <si>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</si>
  <si>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</si>
  <si>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</si>
  <si>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</si>
  <si>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</si>
  <si>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</si>
  <si>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</si>
  <si>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</si>
  <si>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</si>
  <si>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</si>
  <si>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</si>
  <si>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</si>
  <si>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</si>
  <si>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</si>
  <si>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</si>
  <si>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</si>
  <si>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</si>
  <si>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</si>
  <si>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</si>
  <si>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</si>
  <si>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</si>
  <si>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</si>
  <si>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</si>
  <si>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</si>
  <si>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</si>
  <si>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</si>
  <si>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</si>
  <si>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</si>
  <si>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</si>
  <si>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</si>
  <si>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</si>
  <si>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</si>
  <si>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</si>
  <si>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</si>
  <si>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</si>
  <si>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</si>
  <si>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</si>
  <si>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</si>
  <si>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</si>
  <si>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</si>
  <si>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</si>
  <si>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</si>
  <si>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</si>
  <si>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</si>
  <si>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</si>
  <si>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</si>
  <si>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</si>
  <si>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</si>
  <si>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</si>
  <si>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</si>
  <si>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</si>
  <si>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</si>
  <si>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</si>
  <si>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</si>
  <si>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</si>
  <si>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</si>
  <si>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</si>
  <si>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</si>
  <si>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</si>
  <si>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</si>
  <si>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</si>
  <si>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</si>
  <si>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</si>
  <si>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</si>
  <si>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</si>
  <si>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</si>
  <si>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</si>
  <si>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</si>
  <si>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</si>
  <si>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</si>
  <si>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</si>
  <si>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</si>
  <si>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</si>
  <si>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</si>
  <si>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</si>
  <si>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</si>
  <si>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</si>
  <si>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</si>
  <si>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</si>
  <si>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</si>
  <si>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</si>
  <si>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</si>
  <si>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</si>
  <si>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</si>
  <si>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</si>
  <si>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</si>
  <si>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</si>
  <si>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</si>
  <si>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</si>
  <si>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</si>
  <si>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</si>
  <si>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</si>
  <si>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</si>
  <si>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</si>
  <si>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</si>
  <si>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</si>
  <si>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</si>
  <si>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</si>
  <si>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</si>
  <si>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</si>
  <si>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</si>
  <si>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</si>
  <si>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</si>
  <si>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</si>
  <si>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</si>
  <si>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</si>
  <si>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</si>
  <si>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</si>
  <si>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</si>
  <si>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</si>
  <si>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</si>
  <si>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</si>
  <si>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</si>
  <si>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</si>
  <si>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</si>
  <si>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</si>
  <si>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</si>
  <si>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</si>
  <si>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</si>
  <si>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</si>
  <si>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</si>
  <si>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</si>
  <si>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</si>
  <si>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</si>
  <si>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</si>
  <si>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</si>
  <si>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</si>
  <si>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</si>
  <si>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</si>
  <si>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</si>
  <si>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</si>
  <si>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</si>
  <si>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</si>
  <si>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</si>
  <si>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</si>
  <si>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</si>
  <si>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</si>
  <si>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</si>
  <si>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</si>
  <si>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</si>
  <si>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ai.010b</t>
  </si>
  <si>
    <t>az.001b</t>
  </si>
  <si>
    <t>ca.013b</t>
  </si>
  <si>
    <t>el.175b</t>
  </si>
  <si>
    <t>eq.001b</t>
  </si>
  <si>
    <t>eq.002b</t>
  </si>
  <si>
    <t>rc.020b</t>
  </si>
  <si>
    <t>re.030b</t>
  </si>
  <si>
    <t>re.035b</t>
  </si>
  <si>
    <t>re.040b</t>
  </si>
  <si>
    <t>re.043b</t>
  </si>
  <si>
    <t>re.045b</t>
  </si>
  <si>
    <t>re.050b</t>
  </si>
  <si>
    <t>re.055b</t>
  </si>
  <si>
    <t>re.070b</t>
  </si>
  <si>
    <t>re.075b</t>
  </si>
  <si>
    <t>re.080b</t>
  </si>
  <si>
    <t>re.085b</t>
  </si>
  <si>
    <t>re.090b</t>
  </si>
  <si>
    <t>re.095b</t>
  </si>
  <si>
    <t>re.100b</t>
  </si>
  <si>
    <t>re.105b</t>
  </si>
  <si>
    <t>sa.015b</t>
  </si>
  <si>
    <t>so.009b</t>
  </si>
  <si>
    <t>so.030b</t>
  </si>
  <si>
    <t>ai.004b</t>
  </si>
  <si>
    <t>ai.005c</t>
  </si>
  <si>
    <t>ai.002b</t>
  </si>
  <si>
    <t>so.016</t>
  </si>
  <si>
    <t>sa.285</t>
  </si>
  <si>
    <t>re.025b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</si>
  <si>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</si>
  <si>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</si>
  <si>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</si>
  <si>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</si>
  <si>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</si>
  <si>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</si>
  <si>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</si>
  <si>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</si>
  <si>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</si>
  <si>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</si>
  <si>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</si>
  <si>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</si>
  <si>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</si>
  <si>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</si>
  <si>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</si>
  <si>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</si>
  <si>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</si>
  <si>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</si>
  <si>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</si>
  <si>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</si>
  <si>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</si>
  <si>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</si>
  <si>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</si>
  <si>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</si>
  <si>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</si>
  <si>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</si>
  <si>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</si>
  <si>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</si>
  <si>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</si>
  <si>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</si>
  <si>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</si>
  <si>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</si>
  <si>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</si>
  <si>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</si>
  <si>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</si>
  <si>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</si>
  <si>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</si>
  <si>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</si>
  <si>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</si>
  <si>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</si>
  <si>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</si>
  <si>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</si>
  <si>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</si>
  <si>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</si>
  <si>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</si>
  <si>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</si>
  <si>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</si>
  <si>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</si>
  <si>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</si>
  <si>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</si>
  <si>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</si>
  <si>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</si>
  <si>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</si>
  <si>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</si>
  <si>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</si>
  <si>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</si>
  <si>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</si>
  <si>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</si>
  <si>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</si>
  <si>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</si>
  <si>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</si>
  <si>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</si>
  <si>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</si>
  <si>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</si>
  <si>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</si>
  <si>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</si>
  <si>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</si>
  <si>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</si>
  <si>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</si>
  <si>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</si>
  <si>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</si>
  <si>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</si>
  <si>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</si>
  <si>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</si>
  <si>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</si>
  <si>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</si>
  <si>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</si>
  <si>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</si>
  <si>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</si>
  <si>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</si>
  <si>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</si>
  <si>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</si>
  <si>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</si>
  <si>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</si>
  <si>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</si>
  <si>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</si>
  <si>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</si>
  <si>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</si>
  <si>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</si>
  <si>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</si>
  <si>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</si>
  <si>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</si>
  <si>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</si>
  <si>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</si>
  <si>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</si>
  <si>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</si>
  <si>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</si>
  <si>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</si>
  <si>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</si>
  <si>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</si>
  <si>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</si>
  <si>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</si>
  <si>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</si>
  <si>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</si>
  <si>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</si>
  <si>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</si>
  <si>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</si>
  <si>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</si>
  <si>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</si>
  <si>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</si>
  <si>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</si>
  <si>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</si>
  <si>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</si>
  <si>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</si>
  <si>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</si>
  <si>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</si>
  <si>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</si>
  <si>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</si>
  <si>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</si>
  <si>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</si>
  <si>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</si>
  <si>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</si>
  <si>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</si>
  <si>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</si>
  <si>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</si>
  <si>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</si>
  <si>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</si>
  <si>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</si>
  <si>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</si>
  <si>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</si>
  <si>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</si>
  <si>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</si>
  <si>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</si>
  <si>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</si>
  <si>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</si>
  <si>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</si>
  <si>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</si>
  <si>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</si>
  <si>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</si>
  <si>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</si>
  <si>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</si>
  <si>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</si>
  <si>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</si>
  <si>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</si>
  <si>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</si>
  <si>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</si>
  <si>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</si>
  <si>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</si>
  <si>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</si>
  <si>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</si>
  <si>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</si>
  <si>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</si>
  <si>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</si>
  <si>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</si>
  <si>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</si>
  <si>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</si>
  <si>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</si>
  <si>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</si>
  <si>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</si>
  <si>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</si>
  <si>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</si>
  <si>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</si>
  <si>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</si>
  <si>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</si>
  <si>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</si>
  <si>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</si>
  <si>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</si>
  <si>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</si>
  <si>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</si>
  <si>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</si>
  <si>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</si>
  <si>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</si>
  <si>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</si>
  <si>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</si>
  <si>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</si>
  <si>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</si>
  <si>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</si>
  <si>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</si>
  <si>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</si>
  <si>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</si>
  <si>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</si>
  <si>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</si>
  <si>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</si>
  <si>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</si>
  <si>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</si>
  <si>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</si>
  <si>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</si>
  <si>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</si>
  <si>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</si>
  <si>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</si>
  <si>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</si>
  <si>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</si>
  <si>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</si>
  <si>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</si>
  <si>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</si>
  <si>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</si>
  <si>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</si>
  <si>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</si>
  <si>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</si>
  <si>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</si>
  <si>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</si>
  <si>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</si>
  <si>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</si>
  <si>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</si>
  <si>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</si>
  <si>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</si>
  <si>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</si>
  <si>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</si>
  <si>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</si>
  <si>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</si>
  <si>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</si>
  <si>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</si>
  <si>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</si>
  <si>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</si>
  <si>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</si>
  <si>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</si>
  <si>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</si>
  <si>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</si>
  <si>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</si>
  <si>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</si>
  <si>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</si>
  <si>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</si>
  <si>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</si>
  <si>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</si>
  <si>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</si>
  <si>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</si>
  <si>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</si>
  <si>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</si>
  <si>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</si>
  <si>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</si>
  <si>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</si>
  <si>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</si>
  <si>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</si>
  <si>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</si>
  <si>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</si>
  <si>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</si>
  <si>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</si>
  <si>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</si>
  <si>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</si>
  <si>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</si>
  <si>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</si>
  <si>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</si>
  <si>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</si>
  <si>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</si>
  <si>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</si>
  <si>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</si>
  <si>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</si>
  <si>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</si>
  <si>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</si>
  <si>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</si>
  <si>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</si>
  <si>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</si>
  <si>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</si>
  <si>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</si>
  <si>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</si>
  <si>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</si>
  <si>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</si>
  <si>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</si>
  <si>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</si>
  <si>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</si>
  <si>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</si>
  <si>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</si>
  <si>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</si>
  <si>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</si>
  <si>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</si>
  <si>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</si>
  <si>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</si>
  <si>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</si>
  <si>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</si>
  <si>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</si>
  <si>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</si>
  <si>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</si>
  <si>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</si>
  <si>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</si>
  <si>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</si>
  <si>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</si>
  <si>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</si>
  <si>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</si>
  <si>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</si>
  <si>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</si>
  <si>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</si>
  <si>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</si>
  <si>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</si>
  <si>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</si>
  <si>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</si>
  <si>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</si>
  <si>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</si>
  <si>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</si>
  <si>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</si>
  <si>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</si>
  <si>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</si>
  <si>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</si>
  <si>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</si>
  <si>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</si>
  <si>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</si>
  <si>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</si>
  <si>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</si>
  <si>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</si>
  <si>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</si>
  <si>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</si>
  <si>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</si>
  <si>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</si>
  <si>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</si>
  <si>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</si>
  <si>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</si>
  <si>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</si>
  <si>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</si>
  <si>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</si>
  <si>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</si>
  <si>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</si>
  <si>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</si>
  <si>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</si>
  <si>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</si>
  <si>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</si>
  <si>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</si>
  <si>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</si>
  <si>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</si>
  <si>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</si>
  <si>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</si>
  <si>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</si>
  <si>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</si>
  <si>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</si>
  <si>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</si>
  <si>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</si>
  <si>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</si>
  <si>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</si>
  <si>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</si>
  <si>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</si>
  <si>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</si>
  <si>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</si>
  <si>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</si>
  <si>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</si>
  <si>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</si>
  <si>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</si>
  <si>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</si>
  <si>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</si>
  <si>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</si>
  <si>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</si>
  <si>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</si>
  <si>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</si>
  <si>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</si>
  <si>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</si>
  <si>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</si>
  <si>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</si>
  <si>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</si>
  <si>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</si>
  <si>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</si>
  <si>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</si>
  <si>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</si>
  <si>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</si>
  <si>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</si>
  <si>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</si>
  <si>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</si>
  <si>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</si>
  <si>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</si>
  <si>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</si>
  <si>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</si>
  <si>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</si>
  <si>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</si>
  <si>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</si>
  <si>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</si>
  <si>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</si>
  <si>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</si>
  <si>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</si>
  <si>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</si>
  <si>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</si>
  <si>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</si>
  <si>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</si>
  <si>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</si>
  <si>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</si>
  <si>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</si>
  <si>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</si>
  <si>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</si>
  <si>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</si>
  <si>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</si>
  <si>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</si>
  <si>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</si>
  <si>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</si>
  <si>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</si>
  <si>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</si>
  <si>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</si>
  <si>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</si>
  <si>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</si>
  <si>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</si>
  <si>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</si>
  <si>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</si>
  <si>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</si>
  <si>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</si>
  <si>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</si>
  <si>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</si>
  <si>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</si>
  <si>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</si>
  <si>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</si>
  <si>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</si>
  <si>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</si>
  <si>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</si>
  <si>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</si>
  <si>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</si>
  <si>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</si>
  <si>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</si>
  <si>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</si>
  <si>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</si>
  <si>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</si>
  <si>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</si>
  <si>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</si>
  <si>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</si>
  <si>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</si>
  <si>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</si>
  <si>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</si>
  <si>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</si>
  <si>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</si>
  <si>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</si>
  <si>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</si>
  <si>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</si>
  <si>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</si>
  <si>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</si>
  <si>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</si>
  <si>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</si>
  <si>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</si>
  <si>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</si>
  <si>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</si>
  <si>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</si>
  <si>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</si>
  <si>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</si>
  <si>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</si>
  <si>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</si>
  <si>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</si>
  <si>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</si>
  <si>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</si>
  <si>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</si>
  <si>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</si>
  <si>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</si>
  <si>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</si>
  <si>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</si>
  <si>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</si>
  <si>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</si>
  <si>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</si>
  <si>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</si>
  <si>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</si>
  <si>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</si>
  <si>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</si>
  <si>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</si>
  <si>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</si>
  <si>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</si>
  <si>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</si>
  <si>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</si>
  <si>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</si>
  <si>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</si>
  <si>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</si>
  <si>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</si>
  <si>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</si>
  <si>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</si>
  <si>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</si>
  <si>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</si>
  <si>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</si>
  <si>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</si>
  <si>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</si>
  <si>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</si>
  <si>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</si>
  <si>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</si>
  <si>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</si>
  <si>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</si>
  <si>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</si>
  <si>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</si>
  <si>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</si>
  <si>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</si>
  <si>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</si>
  <si>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</si>
  <si>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</si>
  <si>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</si>
  <si>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</si>
  <si>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</si>
  <si>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</si>
  <si>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</si>
  <si>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</si>
  <si>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</si>
  <si>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</si>
  <si>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</si>
  <si>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</si>
  <si>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</si>
  <si>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</si>
  <si>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</si>
  <si>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</si>
  <si>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</si>
  <si>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</si>
  <si>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</si>
  <si>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</si>
  <si>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</si>
  <si>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</si>
  <si>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</si>
  <si>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</si>
  <si>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</si>
  <si>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</si>
  <si>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</si>
  <si>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</si>
  <si>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</si>
  <si>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</si>
  <si>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</si>
  <si>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</si>
  <si>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</si>
  <si>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</si>
  <si>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</si>
  <si>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</si>
  <si>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</si>
  <si>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</si>
  <si>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</si>
  <si>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</si>
  <si>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</si>
  <si>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</si>
  <si>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</si>
  <si>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</si>
  <si>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</si>
  <si>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</si>
  <si>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</si>
  <si>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</si>
  <si>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</si>
  <si>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</si>
  <si>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</si>
  <si>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</si>
  <si>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</si>
  <si>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</si>
  <si>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</si>
  <si>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</si>
  <si>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</si>
  <si>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</si>
  <si>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</si>
  <si>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</si>
  <si>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</si>
  <si>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</si>
  <si>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</si>
  <si>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</si>
  <si>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</si>
  <si>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</si>
  <si>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</si>
  <si>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</si>
  <si>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</si>
  <si>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</si>
  <si>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</si>
  <si>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</si>
  <si>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</si>
  <si>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</si>
  <si>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</si>
  <si>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</si>
  <si>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</si>
  <si>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</si>
  <si>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</si>
  <si>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</si>
  <si>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</si>
  <si>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</si>
  <si>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</si>
  <si>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</si>
  <si>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</si>
  <si>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</si>
  <si>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</si>
  <si>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</si>
  <si>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</si>
  <si>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</si>
  <si>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</si>
  <si>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</si>
  <si>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</si>
  <si>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</si>
  <si>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</si>
  <si>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</si>
  <si>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</si>
  <si>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</si>
  <si>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</si>
  <si>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</si>
  <si>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</si>
  <si>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</si>
  <si>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</si>
  <si>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</si>
  <si>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</si>
  <si>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</si>
  <si>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</si>
  <si>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</si>
  <si>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</si>
  <si>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</si>
  <si>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</si>
  <si>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</si>
  <si>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</si>
  <si>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</si>
  <si>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</si>
  <si>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</si>
  <si>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</si>
  <si>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</si>
  <si>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</si>
  <si>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</si>
  <si>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</si>
  <si>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</si>
  <si>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</si>
  <si>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</si>
  <si>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</si>
  <si>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</si>
  <si>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</si>
  <si>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</si>
  <si>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</si>
  <si>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</si>
  <si>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</si>
  <si>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</si>
  <si>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</si>
  <si>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</si>
  <si>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</si>
  <si>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</si>
  <si>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</si>
  <si>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</si>
  <si>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</si>
  <si>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</si>
  <si>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</si>
  <si>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</si>
  <si>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</si>
  <si>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</si>
  <si>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</si>
  <si>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</si>
  <si>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</si>
  <si>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</si>
  <si>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</si>
  <si>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</si>
  <si>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</si>
  <si>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</si>
  <si>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</si>
  <si>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</si>
  <si>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</si>
  <si>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</si>
  <si>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</si>
  <si>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</si>
  <si>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</si>
  <si>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</si>
  <si>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</si>
  <si>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</si>
  <si>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</si>
  <si>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</si>
  <si>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</si>
  <si>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</si>
  <si>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</si>
  <si>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</si>
  <si>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</si>
  <si>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</si>
  <si>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</si>
  <si>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</si>
  <si>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</si>
  <si>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</si>
  <si>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</si>
  <si>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</si>
  <si>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</si>
  <si>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</si>
  <si>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</si>
  <si>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</si>
  <si>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</si>
  <si>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</si>
  <si>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</si>
  <si>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</si>
  <si>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</si>
  <si>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</si>
  <si>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</si>
  <si>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</si>
  <si>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NOV/12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</si>
</sst>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</numFmts>
  <fonts count="6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hair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34" borderId="0" xfId="52" applyFont="1" applyFill="1">
      <alignment/>
      <protection/>
    </xf>
    <xf numFmtId="0" fontId="10" fillId="3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2" applyFont="1" applyFill="1" applyBorder="1" applyAlignment="1">
      <alignment horizontal="center" vertical="center" wrapText="1"/>
      <protection/>
    </xf>
    <xf numFmtId="0" fontId="3" fillId="37" borderId="19" xfId="52" applyFont="1" applyFill="1" applyBorder="1" applyAlignment="1">
      <alignment horizontal="center" vertical="center" wrapText="1"/>
      <protection/>
    </xf>
    <xf numFmtId="0" fontId="10" fillId="36" borderId="20" xfId="52" applyFont="1" applyFill="1" applyBorder="1" applyAlignment="1">
      <alignment horizontal="center" vertical="center" wrapText="1"/>
      <protection/>
    </xf>
    <xf numFmtId="0" fontId="3" fillId="3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34" borderId="0" xfId="46" applyNumberFormat="1" applyFont="1" applyFill="1" applyAlignment="1">
      <alignment/>
    </xf>
    <xf numFmtId="174" fontId="3" fillId="34" borderId="11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2" fillId="34" borderId="0" xfId="46" applyNumberFormat="1" applyFont="1" applyFill="1" applyAlignment="1" applyProtection="1">
      <alignment/>
      <protection/>
    </xf>
    <xf numFmtId="174" fontId="2" fillId="34" borderId="11" xfId="46" applyNumberFormat="1" applyFont="1" applyFill="1" applyBorder="1" applyAlignment="1" applyProtection="1">
      <alignment/>
      <protection/>
    </xf>
    <xf numFmtId="174" fontId="11" fillId="34" borderId="10" xfId="46" applyNumberFormat="1" applyFont="1" applyFill="1" applyBorder="1" applyAlignment="1">
      <alignment/>
    </xf>
    <xf numFmtId="174" fontId="2" fillId="3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33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34" borderId="0" xfId="46" applyNumberFormat="1" applyFont="1" applyFill="1" applyAlignment="1">
      <alignment/>
    </xf>
    <xf numFmtId="181" fontId="3" fillId="34" borderId="10" xfId="46" applyNumberFormat="1" applyFont="1" applyFill="1" applyBorder="1" applyAlignment="1" applyProtection="1">
      <alignment/>
      <protection/>
    </xf>
    <xf numFmtId="181" fontId="2" fillId="34" borderId="0" xfId="46" applyNumberFormat="1" applyFont="1" applyFill="1" applyAlignment="1" applyProtection="1">
      <alignment/>
      <protection/>
    </xf>
    <xf numFmtId="181" fontId="2" fillId="34" borderId="10" xfId="46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177" fontId="5" fillId="0" borderId="0" xfId="48" applyNumberFormat="1" applyFont="1" applyAlignment="1">
      <alignment/>
    </xf>
    <xf numFmtId="0" fontId="2" fillId="34" borderId="19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177" fontId="2" fillId="38" borderId="18" xfId="48" applyNumberFormat="1" applyFont="1" applyFill="1" applyBorder="1" applyAlignment="1">
      <alignment/>
    </xf>
    <xf numFmtId="174" fontId="17" fillId="34" borderId="18" xfId="46" applyNumberFormat="1" applyFont="1" applyFill="1" applyBorder="1" applyAlignment="1" applyProtection="1" quotePrefix="1">
      <alignment/>
      <protection locked="0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4" fontId="2" fillId="34" borderId="18" xfId="46" applyNumberFormat="1" applyFont="1" applyFill="1" applyBorder="1" applyAlignment="1" applyProtection="1" quotePrefix="1">
      <alignment/>
      <protection locked="0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2" fillId="0" borderId="19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 horizontal="center"/>
    </xf>
    <xf numFmtId="174" fontId="17" fillId="34" borderId="36" xfId="46" applyNumberFormat="1" applyFont="1" applyFill="1" applyBorder="1" applyAlignment="1" applyProtection="1" quotePrefix="1">
      <alignment/>
      <protection locked="0"/>
    </xf>
    <xf numFmtId="0" fontId="5" fillId="40" borderId="0" xfId="0" applyFont="1" applyFill="1" applyAlignment="1">
      <alignment/>
    </xf>
    <xf numFmtId="174" fontId="5" fillId="0" borderId="0" xfId="46" applyNumberFormat="1" applyFont="1" applyAlignment="1">
      <alignment/>
    </xf>
    <xf numFmtId="0" fontId="5" fillId="41" borderId="0" xfId="0" applyFont="1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19" fillId="0" borderId="0" xfId="0" applyFont="1" applyAlignment="1">
      <alignment/>
    </xf>
    <xf numFmtId="0" fontId="5" fillId="39" borderId="0" xfId="0" applyFont="1" applyFill="1" applyAlignment="1">
      <alignment horizontal="center"/>
    </xf>
    <xf numFmtId="174" fontId="5" fillId="0" borderId="0" xfId="0" applyNumberFormat="1" applyFont="1" applyAlignment="1">
      <alignment/>
    </xf>
    <xf numFmtId="179" fontId="5" fillId="39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10" fontId="5" fillId="0" borderId="0" xfId="0" applyNumberFormat="1" applyFont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 quotePrefix="1">
      <alignment horizontal="right"/>
    </xf>
    <xf numFmtId="2" fontId="2" fillId="38" borderId="0" xfId="0" applyNumberFormat="1" applyFont="1" applyFill="1" applyAlignment="1">
      <alignment/>
    </xf>
    <xf numFmtId="180" fontId="5" fillId="37" borderId="0" xfId="0" applyNumberFormat="1" applyFont="1" applyFill="1" applyAlignment="1">
      <alignment/>
    </xf>
    <xf numFmtId="2" fontId="5" fillId="38" borderId="0" xfId="0" applyNumberFormat="1" applyFont="1" applyFill="1" applyAlignment="1">
      <alignment/>
    </xf>
    <xf numFmtId="180" fontId="5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80" fontId="5" fillId="39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42" borderId="37" xfId="55" applyFont="1" applyFill="1" applyBorder="1" applyAlignment="1">
      <alignment horizontal="center"/>
      <protection/>
    </xf>
    <xf numFmtId="187" fontId="10" fillId="0" borderId="38" xfId="55" applyNumberFormat="1" applyFont="1" applyFill="1" applyBorder="1" applyAlignment="1">
      <alignment horizontal="right" wrapText="1"/>
      <protection/>
    </xf>
    <xf numFmtId="174" fontId="6" fillId="37" borderId="39" xfId="46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horizontal="center"/>
      <protection/>
    </xf>
    <xf numFmtId="180" fontId="17" fillId="34" borderId="42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center"/>
      <protection/>
    </xf>
    <xf numFmtId="180" fontId="17" fillId="34" borderId="32" xfId="0" applyNumberFormat="1" applyFont="1" applyFill="1" applyBorder="1" applyAlignment="1" applyProtection="1">
      <alignment/>
      <protection locked="0"/>
    </xf>
    <xf numFmtId="180" fontId="17" fillId="34" borderId="32" xfId="48" applyNumberFormat="1" applyFont="1" applyFill="1" applyBorder="1" applyAlignment="1">
      <alignment/>
    </xf>
    <xf numFmtId="177" fontId="17" fillId="34" borderId="32" xfId="48" applyNumberFormat="1" applyFont="1" applyFill="1" applyBorder="1" applyAlignment="1">
      <alignment/>
    </xf>
    <xf numFmtId="0" fontId="17" fillId="34" borderId="32" xfId="0" applyFont="1" applyFill="1" applyBorder="1" applyAlignment="1" applyProtection="1">
      <alignment/>
      <protection locked="0"/>
    </xf>
    <xf numFmtId="180" fontId="21" fillId="34" borderId="32" xfId="0" applyNumberFormat="1" applyFont="1" applyFill="1" applyBorder="1" applyAlignment="1" applyProtection="1">
      <alignment/>
      <protection locked="0"/>
    </xf>
    <xf numFmtId="180" fontId="17" fillId="0" borderId="32" xfId="0" applyNumberFormat="1" applyFont="1" applyBorder="1" applyAlignment="1" applyProtection="1">
      <alignment/>
      <protection locked="0"/>
    </xf>
    <xf numFmtId="180" fontId="21" fillId="34" borderId="32" xfId="48" applyNumberFormat="1" applyFont="1" applyFill="1" applyBorder="1" applyAlignment="1">
      <alignment/>
    </xf>
    <xf numFmtId="173" fontId="2" fillId="34" borderId="28" xfId="0" applyNumberFormat="1" applyFont="1" applyFill="1" applyBorder="1" applyAlignment="1" applyProtection="1">
      <alignment horizontal="center"/>
      <protection/>
    </xf>
    <xf numFmtId="180" fontId="17" fillId="0" borderId="32" xfId="0" applyNumberFormat="1" applyFont="1" applyFill="1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32" xfId="0" applyFont="1" applyFill="1" applyBorder="1" applyAlignment="1" applyProtection="1">
      <alignment/>
      <protection/>
    </xf>
    <xf numFmtId="174" fontId="17" fillId="34" borderId="32" xfId="46" applyNumberFormat="1" applyFont="1" applyFill="1" applyBorder="1" applyAlignment="1" applyProtection="1">
      <alignment/>
      <protection/>
    </xf>
    <xf numFmtId="174" fontId="17" fillId="34" borderId="32" xfId="46" applyNumberFormat="1" applyFont="1" applyFill="1" applyBorder="1" applyAlignment="1" applyProtection="1">
      <alignment/>
      <protection locked="0"/>
    </xf>
    <xf numFmtId="174" fontId="26" fillId="34" borderId="32" xfId="46" applyNumberFormat="1" applyFont="1" applyFill="1" applyBorder="1" applyAlignment="1" applyProtection="1" quotePrefix="1">
      <alignment/>
      <protection locked="0"/>
    </xf>
    <xf numFmtId="174" fontId="17" fillId="34" borderId="32" xfId="46" applyNumberFormat="1" applyFont="1" applyFill="1" applyBorder="1" applyAlignment="1" applyProtection="1" quotePrefix="1">
      <alignment/>
      <protection locked="0"/>
    </xf>
    <xf numFmtId="177" fontId="26" fillId="33" borderId="32" xfId="48" applyNumberFormat="1" applyFont="1" applyFill="1" applyBorder="1" applyAlignment="1">
      <alignment/>
    </xf>
    <xf numFmtId="174" fontId="17" fillId="33" borderId="32" xfId="46" applyNumberFormat="1" applyFont="1" applyFill="1" applyBorder="1" applyAlignment="1" applyProtection="1">
      <alignment/>
      <protection/>
    </xf>
    <xf numFmtId="177" fontId="17" fillId="33" borderId="32" xfId="48" applyNumberFormat="1" applyFont="1" applyFill="1" applyBorder="1" applyAlignment="1" applyProtection="1">
      <alignment/>
      <protection/>
    </xf>
    <xf numFmtId="174" fontId="26" fillId="33" borderId="32" xfId="46" applyNumberFormat="1" applyFont="1" applyFill="1" applyBorder="1" applyAlignment="1" applyProtection="1" quotePrefix="1">
      <alignment/>
      <protection locked="0"/>
    </xf>
    <xf numFmtId="174" fontId="26" fillId="33" borderId="32" xfId="46" applyNumberFormat="1" applyFont="1" applyFill="1" applyBorder="1" applyAlignment="1" applyProtection="1">
      <alignment/>
      <protection locked="0"/>
    </xf>
    <xf numFmtId="0" fontId="17" fillId="0" borderId="32" xfId="0" applyFont="1" applyBorder="1" applyAlignment="1">
      <alignment/>
    </xf>
    <xf numFmtId="174" fontId="17" fillId="0" borderId="32" xfId="46" applyNumberFormat="1" applyFont="1" applyFill="1" applyBorder="1" applyAlignment="1" applyProtection="1">
      <alignment/>
      <protection locked="0"/>
    </xf>
    <xf numFmtId="0" fontId="17" fillId="34" borderId="28" xfId="0" applyFont="1" applyFill="1" applyBorder="1" applyAlignment="1" applyProtection="1">
      <alignment horizontal="center"/>
      <protection/>
    </xf>
    <xf numFmtId="185" fontId="17" fillId="34" borderId="32" xfId="49" applyNumberFormat="1" applyFont="1" applyFill="1" applyBorder="1" applyAlignment="1" applyProtection="1">
      <alignment/>
      <protection locked="0"/>
    </xf>
    <xf numFmtId="177" fontId="17" fillId="33" borderId="32" xfId="48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86" fontId="23" fillId="0" borderId="32" xfId="48" applyNumberFormat="1" applyFont="1" applyBorder="1" applyAlignment="1">
      <alignment/>
    </xf>
    <xf numFmtId="177" fontId="17" fillId="0" borderId="32" xfId="48" applyNumberFormat="1" applyFont="1" applyFill="1" applyBorder="1" applyAlignment="1">
      <alignment/>
    </xf>
    <xf numFmtId="174" fontId="17" fillId="0" borderId="32" xfId="46" applyNumberFormat="1" applyFont="1" applyBorder="1" applyAlignment="1" applyProtection="1">
      <alignment/>
      <protection locked="0"/>
    </xf>
    <xf numFmtId="174" fontId="17" fillId="34" borderId="43" xfId="46" applyNumberFormat="1" applyFont="1" applyFill="1" applyBorder="1" applyAlignment="1" applyProtection="1">
      <alignment/>
      <protection locked="0"/>
    </xf>
    <xf numFmtId="188" fontId="6" fillId="0" borderId="0" xfId="46" applyNumberFormat="1" applyFont="1" applyAlignment="1" applyProtection="1">
      <alignment horizontal="left"/>
      <protection/>
    </xf>
    <xf numFmtId="188" fontId="5" fillId="39" borderId="0" xfId="46" applyNumberFormat="1" applyFont="1" applyFill="1" applyBorder="1" applyAlignment="1">
      <alignment/>
    </xf>
    <xf numFmtId="188" fontId="5" fillId="0" borderId="0" xfId="46" applyNumberFormat="1" applyFont="1" applyAlignment="1">
      <alignment/>
    </xf>
    <xf numFmtId="189" fontId="2" fillId="0" borderId="0" xfId="46" applyNumberFormat="1" applyFont="1" applyAlignment="1">
      <alignment/>
    </xf>
    <xf numFmtId="189" fontId="6" fillId="37" borderId="44" xfId="46" applyNumberFormat="1" applyFont="1" applyFill="1" applyBorder="1" applyAlignment="1">
      <alignment horizontal="center" vertical="center"/>
    </xf>
    <xf numFmtId="189" fontId="17" fillId="0" borderId="41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/>
      <protection locked="0"/>
    </xf>
    <xf numFmtId="189" fontId="17" fillId="34" borderId="24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 horizontal="right"/>
      <protection locked="0"/>
    </xf>
    <xf numFmtId="189" fontId="17" fillId="0" borderId="24" xfId="0" applyNumberFormat="1" applyFont="1" applyFill="1" applyBorder="1" applyAlignment="1">
      <alignment vertical="center"/>
    </xf>
    <xf numFmtId="189" fontId="17" fillId="34" borderId="24" xfId="0" applyNumberFormat="1" applyFont="1" applyFill="1" applyBorder="1" applyAlignment="1" applyProtection="1">
      <alignment/>
      <protection/>
    </xf>
    <xf numFmtId="189" fontId="17" fillId="34" borderId="24" xfId="46" applyNumberFormat="1" applyFont="1" applyFill="1" applyBorder="1" applyAlignment="1" applyProtection="1">
      <alignment/>
      <protection/>
    </xf>
    <xf numFmtId="189" fontId="17" fillId="34" borderId="24" xfId="46" applyNumberFormat="1" applyFont="1" applyFill="1" applyBorder="1" applyAlignment="1" applyProtection="1">
      <alignment/>
      <protection locked="0"/>
    </xf>
    <xf numFmtId="189" fontId="19" fillId="34" borderId="24" xfId="46" applyNumberFormat="1" applyFont="1" applyFill="1" applyBorder="1" applyAlignment="1" applyProtection="1">
      <alignment/>
      <protection/>
    </xf>
    <xf numFmtId="189" fontId="17" fillId="43" borderId="24" xfId="46" applyNumberFormat="1" applyFont="1" applyFill="1" applyBorder="1" applyAlignment="1" applyProtection="1">
      <alignment/>
      <protection locked="0"/>
    </xf>
    <xf numFmtId="189" fontId="17" fillId="0" borderId="24" xfId="46" applyNumberFormat="1" applyFont="1" applyFill="1" applyBorder="1" applyAlignment="1" applyProtection="1">
      <alignment/>
      <protection locked="0"/>
    </xf>
    <xf numFmtId="189" fontId="19" fillId="0" borderId="24" xfId="0" applyNumberFormat="1" applyFont="1" applyBorder="1" applyAlignment="1">
      <alignment/>
    </xf>
    <xf numFmtId="189" fontId="10" fillId="0" borderId="24" xfId="55" applyNumberFormat="1" applyFont="1" applyFill="1" applyBorder="1" applyAlignment="1">
      <alignment horizontal="center"/>
      <protection/>
    </xf>
    <xf numFmtId="189" fontId="5" fillId="0" borderId="24" xfId="0" applyNumberFormat="1" applyFont="1" applyBorder="1" applyAlignment="1">
      <alignment/>
    </xf>
    <xf numFmtId="189" fontId="17" fillId="34" borderId="45" xfId="46" applyNumberFormat="1" applyFont="1" applyFill="1" applyBorder="1" applyAlignment="1" applyProtection="1">
      <alignment/>
      <protection locked="0"/>
    </xf>
    <xf numFmtId="189" fontId="5" fillId="0" borderId="0" xfId="46" applyNumberFormat="1" applyFont="1" applyAlignment="1">
      <alignment/>
    </xf>
    <xf numFmtId="174" fontId="21" fillId="0" borderId="24" xfId="0" applyNumberFormat="1" applyFont="1" applyFill="1" applyBorder="1" applyAlignment="1">
      <alignment vertical="center"/>
    </xf>
    <xf numFmtId="174" fontId="26" fillId="0" borderId="24" xfId="0" applyNumberFormat="1" applyFont="1" applyFill="1" applyBorder="1" applyAlignment="1">
      <alignment vertical="center"/>
    </xf>
    <xf numFmtId="174" fontId="17" fillId="0" borderId="24" xfId="0" applyNumberFormat="1" applyFont="1" applyFill="1" applyBorder="1" applyAlignment="1">
      <alignment vertical="center"/>
    </xf>
    <xf numFmtId="188" fontId="5" fillId="0" borderId="0" xfId="46" applyNumberFormat="1" applyFont="1" applyBorder="1" applyAlignment="1">
      <alignment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" fillId="41" borderId="24" xfId="0" applyFont="1" applyFill="1" applyBorder="1" applyAlignment="1" applyProtection="1">
      <alignment vertical="center"/>
      <protection/>
    </xf>
    <xf numFmtId="188" fontId="21" fillId="0" borderId="46" xfId="0" applyNumberFormat="1" applyFont="1" applyFill="1" applyBorder="1" applyAlignment="1" applyProtection="1">
      <alignment/>
      <protection locked="0"/>
    </xf>
    <xf numFmtId="188" fontId="21" fillId="0" borderId="47" xfId="0" applyNumberFormat="1" applyFont="1" applyFill="1" applyBorder="1" applyAlignment="1" applyProtection="1">
      <alignment/>
      <protection locked="0"/>
    </xf>
    <xf numFmtId="188" fontId="17" fillId="0" borderId="47" xfId="0" applyNumberFormat="1" applyFont="1" applyFill="1" applyBorder="1" applyAlignment="1" applyProtection="1">
      <alignment/>
      <protection locked="0"/>
    </xf>
    <xf numFmtId="188" fontId="17" fillId="40" borderId="47" xfId="48" applyNumberFormat="1" applyFont="1" applyFill="1" applyBorder="1" applyAlignment="1">
      <alignment/>
    </xf>
    <xf numFmtId="188" fontId="21" fillId="34" borderId="47" xfId="0" applyNumberFormat="1" applyFont="1" applyFill="1" applyBorder="1" applyAlignment="1" applyProtection="1">
      <alignment/>
      <protection locked="0"/>
    </xf>
    <xf numFmtId="188" fontId="17" fillId="34" borderId="47" xfId="0" applyNumberFormat="1" applyFont="1" applyFill="1" applyBorder="1" applyAlignment="1" applyProtection="1">
      <alignment/>
      <protection locked="0"/>
    </xf>
    <xf numFmtId="188" fontId="22" fillId="0" borderId="47" xfId="48" applyNumberFormat="1" applyFont="1" applyFill="1" applyBorder="1" applyAlignment="1">
      <alignment horizontal="right"/>
    </xf>
    <xf numFmtId="188" fontId="21" fillId="0" borderId="47" xfId="46" applyNumberFormat="1" applyFont="1" applyBorder="1" applyAlignment="1">
      <alignment/>
    </xf>
    <xf numFmtId="188" fontId="21" fillId="0" borderId="47" xfId="0" applyNumberFormat="1" applyFont="1" applyBorder="1" applyAlignment="1" applyProtection="1">
      <alignment horizontal="right"/>
      <protection locked="0"/>
    </xf>
    <xf numFmtId="188" fontId="21" fillId="0" borderId="47" xfId="0" applyNumberFormat="1" applyFont="1" applyBorder="1" applyAlignment="1" applyProtection="1">
      <alignment/>
      <protection locked="0"/>
    </xf>
    <xf numFmtId="188" fontId="17" fillId="0" borderId="47" xfId="0" applyNumberFormat="1" applyFont="1" applyBorder="1" applyAlignment="1" applyProtection="1">
      <alignment/>
      <protection locked="0"/>
    </xf>
    <xf numFmtId="188" fontId="26" fillId="0" borderId="47" xfId="0" applyNumberFormat="1" applyFont="1" applyBorder="1" applyAlignment="1" applyProtection="1">
      <alignment/>
      <protection locked="0"/>
    </xf>
    <xf numFmtId="188" fontId="26" fillId="0" borderId="47" xfId="0" applyNumberFormat="1" applyFont="1" applyFill="1" applyBorder="1" applyAlignment="1" applyProtection="1">
      <alignment/>
      <protection locked="0"/>
    </xf>
    <xf numFmtId="188" fontId="26" fillId="0" borderId="47" xfId="46" applyNumberFormat="1" applyFont="1" applyFill="1" applyBorder="1" applyAlignment="1" applyProtection="1">
      <alignment/>
      <protection locked="0"/>
    </xf>
    <xf numFmtId="188" fontId="17" fillId="38" borderId="47" xfId="46" applyNumberFormat="1" applyFont="1" applyFill="1" applyBorder="1" applyAlignment="1" applyProtection="1">
      <alignment/>
      <protection/>
    </xf>
    <xf numFmtId="188" fontId="17" fillId="34" borderId="47" xfId="46" applyNumberFormat="1" applyFont="1" applyFill="1" applyBorder="1" applyAlignment="1" applyProtection="1">
      <alignment/>
      <protection locked="0"/>
    </xf>
    <xf numFmtId="188" fontId="19" fillId="43" borderId="47" xfId="46" applyNumberFormat="1" applyFont="1" applyFill="1" applyBorder="1" applyAlignment="1">
      <alignment/>
    </xf>
    <xf numFmtId="188" fontId="26" fillId="39" borderId="47" xfId="46" applyNumberFormat="1" applyFont="1" applyFill="1" applyBorder="1" applyAlignment="1" applyProtection="1">
      <alignment/>
      <protection locked="0"/>
    </xf>
    <xf numFmtId="188" fontId="17" fillId="0" borderId="47" xfId="46" applyNumberFormat="1" applyFont="1" applyFill="1" applyBorder="1" applyAlignment="1" applyProtection="1">
      <alignment/>
      <protection locked="0"/>
    </xf>
    <xf numFmtId="188" fontId="26" fillId="39" borderId="47" xfId="0" applyNumberFormat="1" applyFont="1" applyFill="1" applyBorder="1" applyAlignment="1">
      <alignment/>
    </xf>
    <xf numFmtId="188" fontId="26" fillId="39" borderId="47" xfId="46" applyNumberFormat="1" applyFont="1" applyFill="1" applyBorder="1" applyAlignment="1" applyProtection="1">
      <alignment/>
      <protection/>
    </xf>
    <xf numFmtId="188" fontId="26" fillId="39" borderId="47" xfId="59" applyNumberFormat="1" applyFont="1" applyFill="1" applyBorder="1" applyAlignment="1" applyProtection="1">
      <alignment/>
      <protection locked="0"/>
    </xf>
    <xf numFmtId="188" fontId="21" fillId="0" borderId="47" xfId="46" applyNumberFormat="1" applyFont="1" applyFill="1" applyBorder="1" applyAlignment="1" applyProtection="1">
      <alignment/>
      <protection locked="0"/>
    </xf>
    <xf numFmtId="188" fontId="26" fillId="33" borderId="47" xfId="46" applyNumberFormat="1" applyFont="1" applyFill="1" applyBorder="1" applyAlignment="1" applyProtection="1">
      <alignment/>
      <protection locked="0"/>
    </xf>
    <xf numFmtId="188" fontId="26" fillId="0" borderId="47" xfId="0" applyNumberFormat="1" applyFont="1" applyFill="1" applyBorder="1" applyAlignment="1">
      <alignment vertical="center"/>
    </xf>
    <xf numFmtId="188" fontId="17" fillId="0" borderId="47" xfId="0" applyNumberFormat="1" applyFont="1" applyFill="1" applyBorder="1" applyAlignment="1">
      <alignment vertical="center"/>
    </xf>
    <xf numFmtId="188" fontId="26" fillId="34" borderId="47" xfId="46" applyNumberFormat="1" applyFont="1" applyFill="1" applyBorder="1" applyAlignment="1" applyProtection="1">
      <alignment/>
      <protection locked="0"/>
    </xf>
    <xf numFmtId="188" fontId="27" fillId="0" borderId="47" xfId="48" applyNumberFormat="1" applyFont="1" applyFill="1" applyBorder="1" applyAlignment="1">
      <alignment/>
    </xf>
    <xf numFmtId="188" fontId="5" fillId="0" borderId="47" xfId="46" applyNumberFormat="1" applyFont="1" applyBorder="1" applyAlignment="1">
      <alignment/>
    </xf>
    <xf numFmtId="188" fontId="26" fillId="38" borderId="47" xfId="46" applyNumberFormat="1" applyFont="1" applyFill="1" applyBorder="1" applyAlignment="1" applyProtection="1">
      <alignment/>
      <protection/>
    </xf>
    <xf numFmtId="188" fontId="26" fillId="38" borderId="47" xfId="46" applyNumberFormat="1" applyFont="1" applyFill="1" applyBorder="1" applyAlignment="1" applyProtection="1">
      <alignment/>
      <protection locked="0"/>
    </xf>
    <xf numFmtId="188" fontId="26" fillId="0" borderId="47" xfId="46" applyNumberFormat="1" applyFont="1" applyBorder="1" applyAlignment="1" applyProtection="1">
      <alignment/>
      <protection locked="0"/>
    </xf>
    <xf numFmtId="188" fontId="26" fillId="44" borderId="47" xfId="46" applyNumberFormat="1" applyFont="1" applyFill="1" applyBorder="1" applyAlignment="1" applyProtection="1">
      <alignment/>
      <protection locked="0"/>
    </xf>
    <xf numFmtId="188" fontId="24" fillId="0" borderId="47" xfId="0" applyNumberFormat="1" applyFont="1" applyFill="1" applyBorder="1" applyAlignment="1">
      <alignment horizontal="right" vertical="center"/>
    </xf>
    <xf numFmtId="188" fontId="17" fillId="0" borderId="47" xfId="48" applyNumberFormat="1" applyFont="1" applyFill="1" applyBorder="1" applyAlignment="1">
      <alignment vertical="center"/>
    </xf>
    <xf numFmtId="188" fontId="26" fillId="0" borderId="48" xfId="46" applyNumberFormat="1" applyFont="1" applyFill="1" applyBorder="1" applyAlignment="1" applyProtection="1">
      <alignment/>
      <protection locked="0"/>
    </xf>
    <xf numFmtId="188" fontId="6" fillId="37" borderId="49" xfId="46" applyNumberFormat="1" applyFont="1" applyFill="1" applyBorder="1" applyAlignment="1" applyProtection="1">
      <alignment horizontal="center" vertical="center"/>
      <protection/>
    </xf>
    <xf numFmtId="177" fontId="6" fillId="37" borderId="50" xfId="48" applyNumberFormat="1" applyFont="1" applyFill="1" applyBorder="1" applyAlignment="1">
      <alignment horizontal="center" vertical="center"/>
    </xf>
    <xf numFmtId="0" fontId="6" fillId="37" borderId="50" xfId="0" applyFont="1" applyFill="1" applyBorder="1" applyAlignment="1" applyProtection="1">
      <alignment horizontal="center" vertical="center"/>
      <protection/>
    </xf>
    <xf numFmtId="0" fontId="6" fillId="37" borderId="5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8" fontId="10" fillId="0" borderId="52" xfId="55" applyNumberFormat="1" applyFont="1" applyFill="1" applyBorder="1" applyAlignment="1">
      <alignment horizontal="right" wrapText="1"/>
      <protection/>
    </xf>
    <xf numFmtId="177" fontId="6" fillId="37" borderId="53" xfId="48" applyNumberFormat="1" applyFont="1" applyFill="1" applyBorder="1" applyAlignment="1">
      <alignment horizontal="center" vertical="center"/>
    </xf>
    <xf numFmtId="172" fontId="5" fillId="41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40" xfId="51" applyFont="1" applyFill="1" applyBorder="1" applyAlignment="1">
      <alignment horizontal="left" wrapText="1"/>
      <protection/>
    </xf>
    <xf numFmtId="0" fontId="28" fillId="0" borderId="41" xfId="51" applyFont="1" applyFill="1" applyBorder="1" applyAlignment="1">
      <alignment horizontal="left" wrapText="1"/>
      <protection/>
    </xf>
    <xf numFmtId="0" fontId="28" fillId="0" borderId="2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54" xfId="51" applyFont="1" applyFill="1" applyBorder="1" applyAlignment="1">
      <alignment horizontal="left" wrapText="1"/>
      <protection/>
    </xf>
    <xf numFmtId="0" fontId="28" fillId="0" borderId="45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188" fontId="6" fillId="0" borderId="0" xfId="46" applyNumberFormat="1" applyFont="1" applyAlignment="1">
      <alignment/>
    </xf>
    <xf numFmtId="189" fontId="6" fillId="0" borderId="0" xfId="46" applyNumberFormat="1" applyFont="1" applyAlignment="1">
      <alignment/>
    </xf>
    <xf numFmtId="174" fontId="6" fillId="0" borderId="0" xfId="46" applyNumberFormat="1" applyFont="1" applyAlignment="1">
      <alignment/>
    </xf>
    <xf numFmtId="2" fontId="29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3" fillId="45" borderId="55" xfId="52" applyFont="1" applyFill="1" applyBorder="1" applyAlignment="1">
      <alignment horizontal="center" vertical="center" wrapText="1"/>
      <protection/>
    </xf>
    <xf numFmtId="0" fontId="3" fillId="35" borderId="56" xfId="52" applyFont="1" applyFill="1" applyBorder="1" applyAlignment="1">
      <alignment vertical="center"/>
      <protection/>
    </xf>
    <xf numFmtId="43" fontId="3" fillId="35" borderId="57" xfId="46" applyFont="1" applyFill="1" applyBorder="1" applyAlignment="1">
      <alignment vertical="center"/>
    </xf>
    <xf numFmtId="43" fontId="3" fillId="35" borderId="56" xfId="46" applyFont="1" applyFill="1" applyBorder="1" applyAlignment="1">
      <alignment vertical="center"/>
    </xf>
    <xf numFmtId="10" fontId="3" fillId="35" borderId="56" xfId="59" applyNumberFormat="1" applyFont="1" applyFill="1" applyBorder="1" applyAlignment="1">
      <alignment vertical="center"/>
    </xf>
    <xf numFmtId="43" fontId="3" fillId="46" borderId="56" xfId="46" applyFont="1" applyFill="1" applyBorder="1" applyAlignment="1">
      <alignment vertical="center"/>
    </xf>
    <xf numFmtId="174" fontId="3" fillId="45" borderId="56" xfId="46" applyNumberFormat="1" applyFont="1" applyFill="1" applyBorder="1" applyAlignment="1">
      <alignment vertical="center"/>
    </xf>
    <xf numFmtId="174" fontId="3" fillId="35" borderId="56" xfId="46" applyNumberFormat="1" applyFont="1" applyFill="1" applyBorder="1" applyAlignment="1">
      <alignment vertical="center"/>
    </xf>
    <xf numFmtId="174" fontId="3" fillId="0" borderId="56" xfId="46" applyNumberFormat="1" applyFont="1" applyBorder="1" applyAlignment="1">
      <alignment vertical="center"/>
    </xf>
    <xf numFmtId="43" fontId="3" fillId="38" borderId="58" xfId="46" applyFont="1" applyFill="1" applyBorder="1" applyAlignment="1">
      <alignment vertical="center"/>
    </xf>
    <xf numFmtId="0" fontId="3" fillId="45" borderId="59" xfId="52" applyFont="1" applyFill="1" applyBorder="1" applyAlignment="1">
      <alignment horizontal="center" vertical="center" wrapText="1"/>
      <protection/>
    </xf>
    <xf numFmtId="0" fontId="3" fillId="35" borderId="60" xfId="52" applyFont="1" applyFill="1" applyBorder="1" applyAlignment="1">
      <alignment vertical="center"/>
      <protection/>
    </xf>
    <xf numFmtId="43" fontId="3" fillId="35" borderId="61" xfId="46" applyFont="1" applyFill="1" applyBorder="1" applyAlignment="1">
      <alignment vertical="center"/>
    </xf>
    <xf numFmtId="43" fontId="3" fillId="35" borderId="60" xfId="46" applyFont="1" applyFill="1" applyBorder="1" applyAlignment="1">
      <alignment vertical="center"/>
    </xf>
    <xf numFmtId="10" fontId="3" fillId="35" borderId="60" xfId="59" applyNumberFormat="1" applyFont="1" applyFill="1" applyBorder="1" applyAlignment="1">
      <alignment vertical="center"/>
    </xf>
    <xf numFmtId="43" fontId="3" fillId="46" borderId="60" xfId="46" applyFont="1" applyFill="1" applyBorder="1" applyAlignment="1">
      <alignment vertical="center"/>
    </xf>
    <xf numFmtId="0" fontId="28" fillId="47" borderId="28" xfId="51" applyFont="1" applyFill="1" applyBorder="1" applyAlignment="1">
      <alignment horizontal="left" wrapText="1"/>
      <protection/>
    </xf>
    <xf numFmtId="0" fontId="28" fillId="47" borderId="28" xfId="53" applyFont="1" applyFill="1" applyBorder="1" applyAlignment="1">
      <alignment horizontal="left" wrapText="1"/>
      <protection/>
    </xf>
    <xf numFmtId="0" fontId="28" fillId="47" borderId="54" xfId="51" applyFont="1" applyFill="1" applyBorder="1" applyAlignment="1">
      <alignment horizontal="left" wrapText="1"/>
      <protection/>
    </xf>
    <xf numFmtId="0" fontId="10" fillId="0" borderId="38" xfId="56" applyFont="1" applyFill="1" applyBorder="1" applyAlignment="1">
      <alignment horizontal="left" wrapText="1"/>
      <protection/>
    </xf>
    <xf numFmtId="0" fontId="10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28" fillId="0" borderId="29" xfId="51" applyFont="1" applyFill="1" applyBorder="1" applyAlignment="1">
      <alignment horizontal="left"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8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41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5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45" borderId="62" xfId="52" applyFont="1" applyFill="1" applyBorder="1" applyAlignment="1">
      <alignment horizontal="center" vertical="center" wrapText="1"/>
      <protection/>
    </xf>
    <xf numFmtId="0" fontId="3" fillId="35" borderId="63" xfId="52" applyFont="1" applyFill="1" applyBorder="1" applyAlignment="1">
      <alignment vertical="center"/>
      <protection/>
    </xf>
    <xf numFmtId="43" fontId="3" fillId="35" borderId="64" xfId="46" applyFont="1" applyFill="1" applyBorder="1" applyAlignment="1">
      <alignment vertical="center"/>
    </xf>
    <xf numFmtId="43" fontId="3" fillId="35" borderId="63" xfId="46" applyFont="1" applyFill="1" applyBorder="1" applyAlignment="1">
      <alignment vertical="center"/>
    </xf>
    <xf numFmtId="10" fontId="3" fillId="35" borderId="63" xfId="59" applyNumberFormat="1" applyFont="1" applyFill="1" applyBorder="1" applyAlignment="1">
      <alignment vertical="center"/>
    </xf>
    <xf numFmtId="43" fontId="3" fillId="46" borderId="63" xfId="46" applyFont="1" applyFill="1" applyBorder="1" applyAlignment="1">
      <alignment vertical="center"/>
    </xf>
    <xf numFmtId="0" fontId="8" fillId="0" borderId="24" xfId="52" applyBorder="1">
      <alignment/>
      <protection/>
    </xf>
    <xf numFmtId="0" fontId="8" fillId="39" borderId="24" xfId="52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0" fontId="2" fillId="48" borderId="24" xfId="0" applyFont="1" applyFill="1" applyBorder="1" applyAlignment="1" applyProtection="1">
      <alignment horizontal="left"/>
      <protection/>
    </xf>
    <xf numFmtId="0" fontId="10" fillId="49" borderId="24" xfId="54" applyFont="1" applyFill="1" applyBorder="1" applyAlignment="1">
      <alignment wrapText="1"/>
      <protection/>
    </xf>
    <xf numFmtId="4" fontId="8" fillId="0" borderId="24" xfId="52" applyNumberFormat="1" applyBorder="1">
      <alignment/>
      <protection/>
    </xf>
    <xf numFmtId="10" fontId="8" fillId="0" borderId="24" xfId="52" applyNumberFormat="1" applyBorder="1">
      <alignment/>
      <protection/>
    </xf>
    <xf numFmtId="0" fontId="0" fillId="0" borderId="0" xfId="0" applyFill="1" applyAlignment="1">
      <alignment/>
    </xf>
    <xf numFmtId="0" fontId="2" fillId="0" borderId="24" xfId="0" applyFont="1" applyFill="1" applyBorder="1" applyAlignment="1" applyProtection="1">
      <alignment vertical="center"/>
      <protection/>
    </xf>
    <xf numFmtId="0" fontId="10" fillId="0" borderId="24" xfId="54" applyFont="1" applyFill="1" applyBorder="1" applyAlignment="1">
      <alignment horizontal="center" wrapText="1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4" xfId="53" applyFont="1" applyFill="1" applyBorder="1" applyAlignment="1">
      <alignment wrapText="1"/>
      <protection/>
    </xf>
    <xf numFmtId="0" fontId="31" fillId="0" borderId="45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31" fillId="0" borderId="45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65" xfId="0" applyFont="1" applyFill="1" applyBorder="1" applyAlignment="1" applyProtection="1">
      <alignment wrapText="1"/>
      <protection/>
    </xf>
    <xf numFmtId="0" fontId="10" fillId="0" borderId="66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/>
      <protection/>
    </xf>
    <xf numFmtId="0" fontId="28" fillId="47" borderId="24" xfId="51" applyFont="1" applyFill="1" applyBorder="1" applyAlignment="1">
      <alignment horizontal="left" wrapText="1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69" xfId="46" applyNumberFormat="1" applyFont="1" applyFill="1" applyBorder="1" applyAlignment="1">
      <alignment horizontal="center" vertical="center" wrapText="1"/>
    </xf>
    <xf numFmtId="0" fontId="17" fillId="0" borderId="24" xfId="53" applyFont="1" applyFill="1" applyBorder="1" applyAlignment="1">
      <alignment wrapText="1"/>
      <protection/>
    </xf>
    <xf numFmtId="0" fontId="17" fillId="0" borderId="24" xfId="53" applyFont="1" applyFill="1" applyBorder="1" applyAlignment="1">
      <alignment horizontal="center" wrapText="1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17" fillId="34" borderId="24" xfId="0" applyFont="1" applyFill="1" applyBorder="1" applyAlignment="1" applyProtection="1">
      <alignment/>
      <protection/>
    </xf>
    <xf numFmtId="0" fontId="17" fillId="34" borderId="24" xfId="0" applyFont="1" applyFill="1" applyBorder="1" applyAlignment="1" applyProtection="1">
      <alignment horizontal="center"/>
      <protection/>
    </xf>
    <xf numFmtId="188" fontId="17" fillId="0" borderId="47" xfId="46" applyNumberFormat="1" applyFont="1" applyFill="1" applyBorder="1" applyAlignment="1" applyProtection="1">
      <alignment/>
      <protection locked="0"/>
    </xf>
    <xf numFmtId="189" fontId="17" fillId="34" borderId="24" xfId="46" applyNumberFormat="1" applyFont="1" applyFill="1" applyBorder="1" applyAlignment="1" applyProtection="1">
      <alignment/>
      <protection locked="0"/>
    </xf>
    <xf numFmtId="177" fontId="17" fillId="34" borderId="32" xfId="48" applyNumberFormat="1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9" fontId="19" fillId="0" borderId="0" xfId="0" applyNumberFormat="1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38" borderId="11" xfId="0" applyFont="1" applyFill="1" applyBorder="1" applyAlignment="1" applyProtection="1">
      <alignment/>
      <protection/>
    </xf>
    <xf numFmtId="181" fontId="3" fillId="38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173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181" fontId="2" fillId="38" borderId="11" xfId="46" applyNumberFormat="1" applyFont="1" applyFill="1" applyBorder="1" applyAlignment="1" applyProtection="1">
      <alignment/>
      <protection/>
    </xf>
    <xf numFmtId="181" fontId="3" fillId="38" borderId="11" xfId="46" applyNumberFormat="1" applyFont="1" applyFill="1" applyBorder="1" applyAlignment="1" applyProtection="1">
      <alignment/>
      <protection/>
    </xf>
    <xf numFmtId="0" fontId="8" fillId="41" borderId="0" xfId="52" applyFill="1">
      <alignment/>
      <protection/>
    </xf>
    <xf numFmtId="0" fontId="8" fillId="41" borderId="0" xfId="52" applyFont="1" applyFill="1" applyAlignment="1">
      <alignment horizontal="center"/>
      <protection/>
    </xf>
    <xf numFmtId="0" fontId="8" fillId="41" borderId="0" xfId="52" applyFill="1" applyAlignment="1">
      <alignment horizontal="center"/>
      <protection/>
    </xf>
    <xf numFmtId="188" fontId="11" fillId="0" borderId="0" xfId="46" applyNumberFormat="1" applyFont="1" applyFill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0" fillId="51" borderId="0" xfId="0" applyFont="1" applyFill="1" applyAlignment="1" applyProtection="1">
      <alignment horizontal="center" vertical="center" wrapText="1"/>
      <protection/>
    </xf>
    <xf numFmtId="0" fontId="10" fillId="36" borderId="73" xfId="52" applyFont="1" applyFill="1" applyBorder="1" applyAlignment="1">
      <alignment horizontal="center" vertical="center" wrapText="1"/>
      <protection/>
    </xf>
    <xf numFmtId="0" fontId="10" fillId="36" borderId="74" xfId="52" applyFont="1" applyFill="1" applyBorder="1" applyAlignment="1">
      <alignment horizontal="center" vertical="center" wrapText="1"/>
      <protection/>
    </xf>
    <xf numFmtId="0" fontId="10" fillId="36" borderId="75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37" borderId="39" xfId="52" applyFont="1" applyFill="1" applyBorder="1" applyAlignment="1">
      <alignment horizontal="center" vertical="center" wrapText="1"/>
      <protection/>
    </xf>
    <xf numFmtId="0" fontId="3" fillId="37" borderId="76" xfId="52" applyFont="1" applyFill="1" applyBorder="1" applyAlignment="1">
      <alignment horizontal="center" vertical="center" wrapText="1"/>
      <protection/>
    </xf>
    <xf numFmtId="0" fontId="10" fillId="37" borderId="77" xfId="52" applyFont="1" applyFill="1" applyBorder="1" applyAlignment="1">
      <alignment horizontal="center"/>
      <protection/>
    </xf>
    <xf numFmtId="0" fontId="10" fillId="37" borderId="78" xfId="52" applyFont="1" applyFill="1" applyBorder="1" applyAlignment="1">
      <alignment horizontal="center"/>
      <protection/>
    </xf>
    <xf numFmtId="0" fontId="3" fillId="37" borderId="77" xfId="52" applyFont="1" applyFill="1" applyBorder="1" applyAlignment="1">
      <alignment horizontal="center"/>
      <protection/>
    </xf>
    <xf numFmtId="0" fontId="3" fillId="37" borderId="79" xfId="52" applyFont="1" applyFill="1" applyBorder="1" applyAlignment="1">
      <alignment horizontal="center"/>
      <protection/>
    </xf>
    <xf numFmtId="0" fontId="3" fillId="37" borderId="78" xfId="52" applyFont="1" applyFill="1" applyBorder="1" applyAlignment="1">
      <alignment horizontal="center"/>
      <protection/>
    </xf>
    <xf numFmtId="0" fontId="10" fillId="36" borderId="44" xfId="52" applyFont="1" applyFill="1" applyBorder="1" applyAlignment="1">
      <alignment horizontal="center" vertical="center" wrapText="1"/>
      <protection/>
    </xf>
    <xf numFmtId="0" fontId="10" fillId="36" borderId="80" xfId="52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36" borderId="81" xfId="52" applyFont="1" applyFill="1" applyBorder="1" applyAlignment="1">
      <alignment horizontal="center" vertical="center" wrapText="1"/>
      <protection/>
    </xf>
    <xf numFmtId="0" fontId="10" fillId="36" borderId="8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ego\AppData\Local\Microsoft\Windows\Temporary%20Internet%20Files\Content.IE5\DJ1XGCHP\PRECIOS%202012\008.AGOSTO\2012-09-27%20Precios%20Testigos%20AGOSTO%202012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-10-30%20Precios%20Testigos%20OCTUBRE%202012%20Sin%20Categoriz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-11-29%20Precios%20Testigos%20NOVIEMBRE%202012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343.83</v>
          </cell>
        </row>
        <row r="3">
          <cell r="A3" t="str">
            <v>ac.009</v>
          </cell>
          <cell r="D3">
            <v>5.8967</v>
          </cell>
        </row>
        <row r="4">
          <cell r="A4" t="str">
            <v>ac.010</v>
          </cell>
          <cell r="D4">
            <v>5.6233</v>
          </cell>
        </row>
        <row r="5">
          <cell r="A5" t="str">
            <v>ac.011</v>
          </cell>
          <cell r="D5">
            <v>5.7033</v>
          </cell>
        </row>
        <row r="6">
          <cell r="A6" t="str">
            <v>ac.012</v>
          </cell>
          <cell r="D6">
            <v>6.0067</v>
          </cell>
        </row>
        <row r="7">
          <cell r="A7" t="str">
            <v>ac.013</v>
          </cell>
          <cell r="D7">
            <v>5.9267</v>
          </cell>
        </row>
        <row r="8">
          <cell r="A8" t="str">
            <v>ac.014</v>
          </cell>
          <cell r="D8">
            <v>5.8633</v>
          </cell>
        </row>
        <row r="9">
          <cell r="A9" t="str">
            <v>ac.015</v>
          </cell>
          <cell r="D9">
            <v>5.5067</v>
          </cell>
        </row>
        <row r="10">
          <cell r="A10" t="str">
            <v>ac.016</v>
          </cell>
          <cell r="D10">
            <v>5505.0567</v>
          </cell>
        </row>
        <row r="11">
          <cell r="A11" t="str">
            <v>ac.029</v>
          </cell>
          <cell r="D11">
            <v>20.5767</v>
          </cell>
        </row>
        <row r="12">
          <cell r="A12" t="str">
            <v>ac.030</v>
          </cell>
          <cell r="D12">
            <v>7.48</v>
          </cell>
        </row>
        <row r="13">
          <cell r="A13" t="str">
            <v>ac.034</v>
          </cell>
          <cell r="D13">
            <v>10.4367</v>
          </cell>
        </row>
        <row r="14">
          <cell r="A14" t="str">
            <v>ac.040</v>
          </cell>
          <cell r="D14">
            <v>7.34</v>
          </cell>
        </row>
        <row r="15">
          <cell r="A15" t="str">
            <v>ac.050</v>
          </cell>
          <cell r="D15">
            <v>7.1533</v>
          </cell>
        </row>
        <row r="16">
          <cell r="A16" t="str">
            <v>ac.051</v>
          </cell>
          <cell r="D16">
            <v>6.9167</v>
          </cell>
        </row>
        <row r="17">
          <cell r="A17" t="str">
            <v>ac.052</v>
          </cell>
          <cell r="D17">
            <v>8.1</v>
          </cell>
        </row>
        <row r="18">
          <cell r="A18" t="str">
            <v>ac.053</v>
          </cell>
          <cell r="D18">
            <v>18.495</v>
          </cell>
        </row>
        <row r="19">
          <cell r="A19" t="str">
            <v>ac.060</v>
          </cell>
          <cell r="D19">
            <v>17.875</v>
          </cell>
        </row>
        <row r="20">
          <cell r="A20" t="str">
            <v>ac.061</v>
          </cell>
          <cell r="D20">
            <v>6.7767</v>
          </cell>
        </row>
        <row r="21">
          <cell r="A21" t="str">
            <v>ac.062</v>
          </cell>
          <cell r="D21">
            <v>7.28</v>
          </cell>
        </row>
        <row r="22">
          <cell r="A22" t="str">
            <v>ac.070</v>
          </cell>
          <cell r="D22">
            <v>0.47</v>
          </cell>
        </row>
        <row r="23">
          <cell r="A23" t="str">
            <v>ac.071</v>
          </cell>
          <cell r="D23">
            <v>0.51</v>
          </cell>
        </row>
        <row r="24">
          <cell r="A24" t="str">
            <v>ac.072</v>
          </cell>
          <cell r="D24">
            <v>11.0133</v>
          </cell>
        </row>
        <row r="25">
          <cell r="A25" t="str">
            <v>ac.073</v>
          </cell>
          <cell r="D25">
            <v>31.58</v>
          </cell>
        </row>
        <row r="26">
          <cell r="A26" t="str">
            <v>ac.080</v>
          </cell>
          <cell r="D26">
            <v>2.5933</v>
          </cell>
        </row>
        <row r="27">
          <cell r="A27" t="str">
            <v>ac.081</v>
          </cell>
          <cell r="D27">
            <v>2.9967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3.315</v>
          </cell>
        </row>
        <row r="30">
          <cell r="A30" t="str">
            <v>ac.091</v>
          </cell>
          <cell r="D30">
            <v>12.665</v>
          </cell>
        </row>
        <row r="31">
          <cell r="A31" t="str">
            <v>ac.092</v>
          </cell>
          <cell r="D31">
            <v>0.47</v>
          </cell>
        </row>
        <row r="32">
          <cell r="A32" t="str">
            <v>ac.093</v>
          </cell>
          <cell r="D32">
            <v>8665.05</v>
          </cell>
        </row>
        <row r="33">
          <cell r="A33" t="str">
            <v>ac.093b</v>
          </cell>
          <cell r="D33">
            <v>19356</v>
          </cell>
        </row>
        <row r="34">
          <cell r="A34" t="str">
            <v>ac.100</v>
          </cell>
          <cell r="D34">
            <v>6.12</v>
          </cell>
        </row>
        <row r="35">
          <cell r="A35" t="str">
            <v>ac.101</v>
          </cell>
          <cell r="D35">
            <v>5.77</v>
          </cell>
        </row>
        <row r="36">
          <cell r="A36" t="str">
            <v>ac.102</v>
          </cell>
          <cell r="D36">
            <v>16.17</v>
          </cell>
        </row>
        <row r="37">
          <cell r="A37" t="str">
            <v>ac.103</v>
          </cell>
          <cell r="D37">
            <v>27.56</v>
          </cell>
        </row>
        <row r="38">
          <cell r="A38" t="str">
            <v>ac.104</v>
          </cell>
          <cell r="D38">
            <v>64.77</v>
          </cell>
        </row>
        <row r="39">
          <cell r="A39" t="str">
            <v>ac.105</v>
          </cell>
          <cell r="D39">
            <v>110.61</v>
          </cell>
        </row>
        <row r="40">
          <cell r="A40" t="str">
            <v>ac.106</v>
          </cell>
          <cell r="D40">
            <v>21.0267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5.965</v>
          </cell>
        </row>
        <row r="43">
          <cell r="A43" t="str">
            <v>ac.109</v>
          </cell>
          <cell r="D43">
            <v>9.87</v>
          </cell>
        </row>
        <row r="44">
          <cell r="A44" t="str">
            <v>ac.110</v>
          </cell>
          <cell r="D44">
            <v>3.585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8.9733</v>
          </cell>
        </row>
        <row r="47">
          <cell r="A47" t="str">
            <v>ac.117</v>
          </cell>
          <cell r="D47">
            <v>11.83</v>
          </cell>
        </row>
        <row r="48">
          <cell r="A48" t="str">
            <v>ac.118</v>
          </cell>
          <cell r="D48">
            <v>19.18</v>
          </cell>
        </row>
        <row r="49">
          <cell r="A49" t="str">
            <v>ac.119</v>
          </cell>
          <cell r="D49">
            <v>6.35</v>
          </cell>
        </row>
        <row r="50">
          <cell r="A50" t="str">
            <v>ac.120</v>
          </cell>
          <cell r="D50">
            <v>21.6</v>
          </cell>
        </row>
        <row r="51">
          <cell r="A51" t="str">
            <v>ac.121</v>
          </cell>
          <cell r="D51">
            <v>16.06</v>
          </cell>
        </row>
        <row r="52">
          <cell r="A52" t="str">
            <v>ac.122</v>
          </cell>
          <cell r="D52">
            <v>3.4533</v>
          </cell>
        </row>
        <row r="53">
          <cell r="A53" t="str">
            <v>ac.123</v>
          </cell>
          <cell r="D53">
            <v>5.2233</v>
          </cell>
        </row>
        <row r="54">
          <cell r="A54" t="str">
            <v>ac.124</v>
          </cell>
          <cell r="D54">
            <v>4.1367</v>
          </cell>
        </row>
        <row r="55">
          <cell r="A55" t="str">
            <v>ac.125</v>
          </cell>
          <cell r="D55">
            <v>8.62</v>
          </cell>
        </row>
        <row r="56">
          <cell r="A56" t="str">
            <v>ac.200</v>
          </cell>
          <cell r="D56">
            <v>6.28</v>
          </cell>
        </row>
        <row r="57">
          <cell r="A57" t="str">
            <v>ac.201</v>
          </cell>
          <cell r="D57">
            <v>4.21</v>
          </cell>
        </row>
        <row r="58">
          <cell r="A58" t="str">
            <v>ac.500</v>
          </cell>
          <cell r="D58">
            <v>5.9367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19.4</v>
          </cell>
        </row>
        <row r="62">
          <cell r="A62" t="str">
            <v>ai.004</v>
          </cell>
          <cell r="D62">
            <v>4.4867</v>
          </cell>
        </row>
        <row r="63">
          <cell r="A63" t="str">
            <v>ai.005</v>
          </cell>
          <cell r="D63">
            <v>15.73</v>
          </cell>
        </row>
        <row r="64">
          <cell r="A64" t="str">
            <v>ai.006</v>
          </cell>
          <cell r="D64">
            <v>16.835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18.62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15.95</v>
          </cell>
        </row>
        <row r="75">
          <cell r="A75" t="str">
            <v>ai.060</v>
          </cell>
          <cell r="D75">
            <v>88.84</v>
          </cell>
        </row>
        <row r="76">
          <cell r="A76" t="str">
            <v>ar.001</v>
          </cell>
          <cell r="D76">
            <v>99.5</v>
          </cell>
        </row>
        <row r="77">
          <cell r="A77" t="str">
            <v>ar.002</v>
          </cell>
          <cell r="D77">
            <v>90</v>
          </cell>
        </row>
        <row r="78">
          <cell r="A78" t="str">
            <v>ar.003</v>
          </cell>
          <cell r="D78">
            <v>89.4</v>
          </cell>
        </row>
        <row r="79">
          <cell r="A79" t="str">
            <v>ar.004</v>
          </cell>
          <cell r="D79">
            <v>95.0033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102.1467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78.4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90.39</v>
          </cell>
        </row>
        <row r="86">
          <cell r="A86" t="str">
            <v>ar.012</v>
          </cell>
          <cell r="D86">
            <v>92</v>
          </cell>
        </row>
        <row r="87">
          <cell r="A87" t="str">
            <v>ar.013</v>
          </cell>
          <cell r="D87">
            <v>99.5</v>
          </cell>
        </row>
        <row r="88">
          <cell r="A88" t="str">
            <v>az.001</v>
          </cell>
          <cell r="D88">
            <v>30.88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21.0118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18.16</v>
          </cell>
        </row>
        <row r="93">
          <cell r="A93" t="str">
            <v>bl.006</v>
          </cell>
          <cell r="D93">
            <v>21.085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192</v>
          </cell>
        </row>
        <row r="96">
          <cell r="A96" t="str">
            <v>ca.001</v>
          </cell>
          <cell r="D96">
            <v>1818.185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367.58</v>
          </cell>
        </row>
        <row r="99">
          <cell r="A99" t="str">
            <v>ca.013</v>
          </cell>
          <cell r="D99">
            <v>1650.61</v>
          </cell>
        </row>
        <row r="100">
          <cell r="A100" t="str">
            <v>ca.013b</v>
          </cell>
          <cell r="D100">
            <v>566.82</v>
          </cell>
        </row>
        <row r="101">
          <cell r="A101" t="str">
            <v>ca.020</v>
          </cell>
          <cell r="D101">
            <v>1481.01</v>
          </cell>
        </row>
        <row r="102">
          <cell r="A102" t="str">
            <v>ca.030</v>
          </cell>
          <cell r="D102">
            <v>1655.51</v>
          </cell>
        </row>
        <row r="103">
          <cell r="A103" t="str">
            <v>ca.102</v>
          </cell>
          <cell r="D103">
            <v>1383</v>
          </cell>
        </row>
        <row r="104">
          <cell r="A104" t="str">
            <v>ca.103</v>
          </cell>
          <cell r="D104">
            <v>1251</v>
          </cell>
        </row>
        <row r="105">
          <cell r="A105" t="str">
            <v>ca.104</v>
          </cell>
          <cell r="D105">
            <v>1469</v>
          </cell>
        </row>
        <row r="106">
          <cell r="A106" t="str">
            <v>ca.107</v>
          </cell>
          <cell r="D106">
            <v>266</v>
          </cell>
        </row>
        <row r="107">
          <cell r="A107" t="str">
            <v>ca.108</v>
          </cell>
          <cell r="D107">
            <v>294</v>
          </cell>
        </row>
        <row r="108">
          <cell r="A108" t="str">
            <v>ca.109</v>
          </cell>
          <cell r="D108">
            <v>1023</v>
          </cell>
        </row>
        <row r="109">
          <cell r="A109" t="str">
            <v>ca.110</v>
          </cell>
          <cell r="D109">
            <v>178</v>
          </cell>
        </row>
        <row r="110">
          <cell r="A110" t="str">
            <v>ca.111</v>
          </cell>
          <cell r="D110">
            <v>176</v>
          </cell>
        </row>
        <row r="111">
          <cell r="A111" t="str">
            <v>ca.112</v>
          </cell>
          <cell r="D111">
            <v>173</v>
          </cell>
        </row>
        <row r="112">
          <cell r="A112" t="str">
            <v>ca.113</v>
          </cell>
          <cell r="D112">
            <v>771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6.88</v>
          </cell>
        </row>
        <row r="116">
          <cell r="A116" t="str">
            <v>ch.006</v>
          </cell>
          <cell r="D116">
            <v>109.62</v>
          </cell>
        </row>
        <row r="117">
          <cell r="A117" t="str">
            <v>ch.010</v>
          </cell>
          <cell r="D117">
            <v>7.0267</v>
          </cell>
        </row>
        <row r="118">
          <cell r="A118" t="str">
            <v>ch.011</v>
          </cell>
          <cell r="D118">
            <v>23.24</v>
          </cell>
        </row>
        <row r="119">
          <cell r="A119" t="str">
            <v>ch.012</v>
          </cell>
          <cell r="D119">
            <v>143.5367</v>
          </cell>
        </row>
        <row r="120">
          <cell r="A120" t="str">
            <v>ch.013</v>
          </cell>
          <cell r="D120">
            <v>63.12</v>
          </cell>
        </row>
        <row r="121">
          <cell r="A121" t="str">
            <v>ch.020</v>
          </cell>
          <cell r="D121">
            <v>9.75</v>
          </cell>
        </row>
        <row r="122">
          <cell r="A122" t="str">
            <v>ch.021</v>
          </cell>
          <cell r="D122">
            <v>13.39</v>
          </cell>
        </row>
        <row r="123">
          <cell r="A123" t="str">
            <v>ch.030</v>
          </cell>
          <cell r="D123">
            <v>95.415</v>
          </cell>
        </row>
        <row r="124">
          <cell r="A124" t="str">
            <v>ch.031</v>
          </cell>
          <cell r="D124">
            <v>88.18</v>
          </cell>
        </row>
        <row r="125">
          <cell r="A125" t="str">
            <v>ch.032</v>
          </cell>
          <cell r="D125">
            <v>10.99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1.6671</v>
          </cell>
        </row>
        <row r="134">
          <cell r="A134" t="str">
            <v>el.010</v>
          </cell>
          <cell r="D134">
            <v>421.49</v>
          </cell>
        </row>
        <row r="135">
          <cell r="A135" t="str">
            <v>el.011</v>
          </cell>
          <cell r="D135">
            <v>512.4</v>
          </cell>
        </row>
        <row r="136">
          <cell r="A136" t="str">
            <v>el.020</v>
          </cell>
          <cell r="D136">
            <v>48.9233</v>
          </cell>
        </row>
        <row r="137">
          <cell r="A137" t="str">
            <v>el.021</v>
          </cell>
          <cell r="D137">
            <v>87.675</v>
          </cell>
        </row>
        <row r="138">
          <cell r="A138" t="str">
            <v>el.022</v>
          </cell>
          <cell r="D138">
            <v>4.3066</v>
          </cell>
        </row>
        <row r="139">
          <cell r="A139" t="str">
            <v>el.023</v>
          </cell>
          <cell r="D139">
            <v>2.4633</v>
          </cell>
        </row>
        <row r="140">
          <cell r="A140" t="str">
            <v>el.024</v>
          </cell>
          <cell r="D140">
            <v>10.47</v>
          </cell>
        </row>
        <row r="141">
          <cell r="A141" t="str">
            <v>el.025</v>
          </cell>
          <cell r="D141">
            <v>21.46</v>
          </cell>
        </row>
        <row r="142">
          <cell r="A142" t="str">
            <v>el.026</v>
          </cell>
          <cell r="D142">
            <v>6.3111</v>
          </cell>
        </row>
        <row r="143">
          <cell r="A143" t="str">
            <v>el.027</v>
          </cell>
          <cell r="D143">
            <v>1.49</v>
          </cell>
        </row>
        <row r="144">
          <cell r="A144" t="str">
            <v>el.028</v>
          </cell>
          <cell r="D144">
            <v>1.9</v>
          </cell>
        </row>
        <row r="145">
          <cell r="A145" t="str">
            <v>el.029</v>
          </cell>
          <cell r="D145">
            <v>3.92</v>
          </cell>
        </row>
        <row r="146">
          <cell r="A146" t="str">
            <v>el.057</v>
          </cell>
          <cell r="D146">
            <v>2.62</v>
          </cell>
        </row>
        <row r="147">
          <cell r="A147" t="str">
            <v>el.058</v>
          </cell>
          <cell r="D147">
            <v>1.2833</v>
          </cell>
        </row>
        <row r="148">
          <cell r="A148" t="str">
            <v>el.059</v>
          </cell>
          <cell r="D148">
            <v>4.26</v>
          </cell>
        </row>
        <row r="149">
          <cell r="A149" t="str">
            <v>el.060</v>
          </cell>
          <cell r="D149">
            <v>2.5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17.07</v>
          </cell>
        </row>
        <row r="153">
          <cell r="A153" t="str">
            <v>el.072</v>
          </cell>
          <cell r="D153">
            <v>20.8867</v>
          </cell>
        </row>
        <row r="154">
          <cell r="A154" t="str">
            <v>el.073</v>
          </cell>
          <cell r="D154">
            <v>24.795</v>
          </cell>
        </row>
        <row r="155">
          <cell r="A155" t="str">
            <v>el.075</v>
          </cell>
          <cell r="D155">
            <v>2.95</v>
          </cell>
        </row>
        <row r="156">
          <cell r="A156" t="str">
            <v>el.076</v>
          </cell>
          <cell r="D156">
            <v>2.63</v>
          </cell>
        </row>
        <row r="157">
          <cell r="A157" t="str">
            <v>el.080</v>
          </cell>
          <cell r="D157">
            <v>1.09</v>
          </cell>
        </row>
        <row r="158">
          <cell r="A158" t="str">
            <v>el.100</v>
          </cell>
          <cell r="D158">
            <v>17.3033</v>
          </cell>
        </row>
        <row r="159">
          <cell r="A159" t="str">
            <v>el.101</v>
          </cell>
          <cell r="D159">
            <v>32.67</v>
          </cell>
        </row>
        <row r="160">
          <cell r="A160" t="str">
            <v>el.102</v>
          </cell>
          <cell r="D160">
            <v>140.765</v>
          </cell>
        </row>
        <row r="161">
          <cell r="A161" t="str">
            <v>el.103</v>
          </cell>
          <cell r="D161">
            <v>48.14</v>
          </cell>
        </row>
        <row r="162">
          <cell r="A162" t="str">
            <v>el.104</v>
          </cell>
          <cell r="D162">
            <v>152.255</v>
          </cell>
        </row>
        <row r="163">
          <cell r="A163" t="str">
            <v>el.105</v>
          </cell>
          <cell r="D163">
            <v>260.38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14.925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43.295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5.695</v>
          </cell>
        </row>
        <row r="175">
          <cell r="A175" t="str">
            <v>el.151</v>
          </cell>
          <cell r="D175">
            <v>40.1</v>
          </cell>
        </row>
        <row r="176">
          <cell r="A176" t="str">
            <v>el.152</v>
          </cell>
          <cell r="D176">
            <v>137.69</v>
          </cell>
        </row>
        <row r="177">
          <cell r="A177" t="str">
            <v>el.159</v>
          </cell>
          <cell r="D177">
            <v>1.93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1.66</v>
          </cell>
        </row>
        <row r="181">
          <cell r="A181" t="str">
            <v>el.165</v>
          </cell>
          <cell r="D181">
            <v>3.88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5.5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2.62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43.995</v>
          </cell>
        </row>
        <row r="189">
          <cell r="A189" t="str">
            <v>el.177</v>
          </cell>
          <cell r="D189">
            <v>5.635</v>
          </cell>
        </row>
        <row r="190">
          <cell r="A190" t="str">
            <v>el.178</v>
          </cell>
          <cell r="D190">
            <v>2.71</v>
          </cell>
        </row>
        <row r="191">
          <cell r="A191" t="str">
            <v>el.179</v>
          </cell>
          <cell r="D191">
            <v>2.6733</v>
          </cell>
        </row>
        <row r="192">
          <cell r="A192" t="str">
            <v>el.180</v>
          </cell>
          <cell r="D192">
            <v>3.7833</v>
          </cell>
        </row>
        <row r="193">
          <cell r="A193" t="str">
            <v>el.181</v>
          </cell>
          <cell r="D193">
            <v>2.71</v>
          </cell>
        </row>
        <row r="194">
          <cell r="A194" t="str">
            <v>el.182</v>
          </cell>
          <cell r="D194">
            <v>8.9167</v>
          </cell>
        </row>
        <row r="195">
          <cell r="A195" t="str">
            <v>el.183</v>
          </cell>
          <cell r="D195">
            <v>12.68</v>
          </cell>
        </row>
        <row r="196">
          <cell r="A196" t="str">
            <v>el.184</v>
          </cell>
          <cell r="D196">
            <v>2.3</v>
          </cell>
        </row>
        <row r="197">
          <cell r="A197" t="str">
            <v>el.185</v>
          </cell>
          <cell r="D197">
            <v>2.585</v>
          </cell>
        </row>
        <row r="198">
          <cell r="A198" t="str">
            <v>el.186</v>
          </cell>
          <cell r="D198">
            <v>1.51</v>
          </cell>
        </row>
        <row r="199">
          <cell r="A199" t="str">
            <v>el.187</v>
          </cell>
          <cell r="D199">
            <v>2.405</v>
          </cell>
        </row>
        <row r="200">
          <cell r="A200" t="str">
            <v>el.188</v>
          </cell>
          <cell r="D200">
            <v>3.735</v>
          </cell>
        </row>
        <row r="201">
          <cell r="A201" t="str">
            <v>el.189</v>
          </cell>
          <cell r="D201">
            <v>5.515</v>
          </cell>
        </row>
        <row r="202">
          <cell r="A202" t="str">
            <v>el.190</v>
          </cell>
          <cell r="D202">
            <v>10.74</v>
          </cell>
        </row>
        <row r="203">
          <cell r="A203" t="str">
            <v>eq.001</v>
          </cell>
          <cell r="D203">
            <v>345378.2</v>
          </cell>
        </row>
        <row r="204">
          <cell r="A204" t="str">
            <v>eq.001b</v>
          </cell>
          <cell r="D204">
            <v>333603.62</v>
          </cell>
        </row>
        <row r="205">
          <cell r="A205" t="str">
            <v>eq.002</v>
          </cell>
          <cell r="D205">
            <v>60593.49</v>
          </cell>
        </row>
        <row r="206">
          <cell r="A206" t="str">
            <v>eq.002b</v>
          </cell>
          <cell r="D206">
            <v>63348.42</v>
          </cell>
        </row>
        <row r="207">
          <cell r="A207" t="str">
            <v>eq.003</v>
          </cell>
          <cell r="D207">
            <v>306.72</v>
          </cell>
        </row>
        <row r="208">
          <cell r="A208" t="str">
            <v>eq.004</v>
          </cell>
          <cell r="D208">
            <v>441.96</v>
          </cell>
        </row>
        <row r="209">
          <cell r="A209" t="str">
            <v>eq.005</v>
          </cell>
          <cell r="D209">
            <v>239.95</v>
          </cell>
        </row>
        <row r="210">
          <cell r="A210" t="str">
            <v>eq.006</v>
          </cell>
          <cell r="D210">
            <v>4.95</v>
          </cell>
        </row>
        <row r="211">
          <cell r="A211" t="str">
            <v>eq.007</v>
          </cell>
          <cell r="D211">
            <v>546281.75</v>
          </cell>
        </row>
        <row r="212">
          <cell r="A212" t="str">
            <v>eq.007b</v>
          </cell>
          <cell r="D212">
            <v>445703.9</v>
          </cell>
        </row>
        <row r="213">
          <cell r="A213" t="str">
            <v>eq.008</v>
          </cell>
          <cell r="D213">
            <v>239.95</v>
          </cell>
        </row>
        <row r="214">
          <cell r="A214" t="str">
            <v>eq.009</v>
          </cell>
          <cell r="D214">
            <v>869353.2792</v>
          </cell>
        </row>
        <row r="215">
          <cell r="A215" t="str">
            <v>eq.009b</v>
          </cell>
          <cell r="D215">
            <v>1110533.38</v>
          </cell>
        </row>
        <row r="216">
          <cell r="A216" t="str">
            <v>eq.010</v>
          </cell>
          <cell r="D216">
            <v>370.62</v>
          </cell>
        </row>
        <row r="217">
          <cell r="A217" t="str">
            <v>eq.011</v>
          </cell>
          <cell r="D217">
            <v>669629.73</v>
          </cell>
        </row>
        <row r="218">
          <cell r="A218" t="str">
            <v>eq.012</v>
          </cell>
          <cell r="D218">
            <v>306.72</v>
          </cell>
        </row>
        <row r="219">
          <cell r="A219" t="str">
            <v>eq.013</v>
          </cell>
          <cell r="D219">
            <v>851600.644</v>
          </cell>
        </row>
        <row r="220">
          <cell r="A220" t="str">
            <v>eq.013b</v>
          </cell>
          <cell r="D220">
            <v>1058625.95</v>
          </cell>
        </row>
        <row r="221">
          <cell r="A221" t="str">
            <v>eq.014</v>
          </cell>
          <cell r="D221">
            <v>293.4</v>
          </cell>
        </row>
        <row r="222">
          <cell r="A222" t="str">
            <v>eq.015</v>
          </cell>
          <cell r="D222">
            <v>506006.18</v>
          </cell>
        </row>
        <row r="223">
          <cell r="A223" t="str">
            <v>eq.016</v>
          </cell>
          <cell r="D223">
            <v>182.08</v>
          </cell>
        </row>
        <row r="224">
          <cell r="A224" t="str">
            <v>eq.017</v>
          </cell>
          <cell r="D224">
            <v>689779.77</v>
          </cell>
        </row>
        <row r="225">
          <cell r="A225" t="str">
            <v>eq.018</v>
          </cell>
          <cell r="D225">
            <v>253.61</v>
          </cell>
        </row>
        <row r="226">
          <cell r="A226" t="str">
            <v>eq.019</v>
          </cell>
          <cell r="D226">
            <v>975432.38</v>
          </cell>
        </row>
        <row r="227">
          <cell r="A227" t="str">
            <v>eq.019b</v>
          </cell>
          <cell r="D227">
            <v>599360.93</v>
          </cell>
        </row>
        <row r="228">
          <cell r="A228" t="str">
            <v>eq.020</v>
          </cell>
          <cell r="D228">
            <v>441.96</v>
          </cell>
        </row>
        <row r="229">
          <cell r="A229" t="str">
            <v>eq.021</v>
          </cell>
          <cell r="D229">
            <v>375700.1</v>
          </cell>
        </row>
        <row r="230">
          <cell r="A230" t="str">
            <v>eq.022</v>
          </cell>
          <cell r="D230">
            <v>159.78</v>
          </cell>
        </row>
        <row r="231">
          <cell r="A231" t="str">
            <v>eq.024</v>
          </cell>
          <cell r="D231">
            <v>1270943.3481</v>
          </cell>
        </row>
        <row r="232">
          <cell r="A232" t="str">
            <v>eq.024b</v>
          </cell>
          <cell r="D232">
            <v>2739512.51</v>
          </cell>
        </row>
        <row r="233">
          <cell r="A233" t="str">
            <v>eq.025</v>
          </cell>
          <cell r="D233">
            <v>404.4</v>
          </cell>
        </row>
        <row r="234">
          <cell r="A234" t="str">
            <v>eq.026</v>
          </cell>
          <cell r="D234">
            <v>12493.5151</v>
          </cell>
        </row>
        <row r="235">
          <cell r="A235" t="str">
            <v>eq.026b</v>
          </cell>
          <cell r="D235">
            <v>16049.86</v>
          </cell>
        </row>
        <row r="236">
          <cell r="A236" t="str">
            <v>eq.028</v>
          </cell>
          <cell r="D236">
            <v>8968.2639</v>
          </cell>
        </row>
        <row r="237">
          <cell r="A237" t="str">
            <v>eq.028b</v>
          </cell>
          <cell r="D237">
            <v>3512.68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15896.5134</v>
          </cell>
        </row>
        <row r="241">
          <cell r="A241" t="str">
            <v>eq.040b</v>
          </cell>
          <cell r="D241">
            <v>11457.45</v>
          </cell>
        </row>
        <row r="242">
          <cell r="A242" t="str">
            <v>eq.044</v>
          </cell>
          <cell r="D242">
            <v>25838.4015</v>
          </cell>
        </row>
        <row r="243">
          <cell r="A243" t="str">
            <v>eq.044b</v>
          </cell>
          <cell r="D243">
            <v>49677.24</v>
          </cell>
        </row>
        <row r="244">
          <cell r="A244" t="str">
            <v>eq.048</v>
          </cell>
          <cell r="D244">
            <v>131995.16</v>
          </cell>
        </row>
        <row r="245">
          <cell r="A245" t="str">
            <v>eq.050</v>
          </cell>
          <cell r="D245">
            <v>86083.88</v>
          </cell>
        </row>
        <row r="246">
          <cell r="A246" t="str">
            <v>eq.052</v>
          </cell>
          <cell r="D246">
            <v>97561.63</v>
          </cell>
        </row>
        <row r="247">
          <cell r="A247" t="str">
            <v>eq.054</v>
          </cell>
          <cell r="D247">
            <v>44782.11</v>
          </cell>
        </row>
        <row r="248">
          <cell r="A248" t="str">
            <v>eq.054b</v>
          </cell>
          <cell r="D248">
            <v>49576</v>
          </cell>
        </row>
        <row r="249">
          <cell r="A249" t="str">
            <v>eq.058</v>
          </cell>
          <cell r="D249">
            <v>226283.8921</v>
          </cell>
        </row>
        <row r="250">
          <cell r="A250" t="str">
            <v>eq.058b</v>
          </cell>
          <cell r="D250">
            <v>431422.5</v>
          </cell>
        </row>
        <row r="251">
          <cell r="A251" t="str">
            <v>eq.060</v>
          </cell>
          <cell r="D251">
            <v>15667.7441</v>
          </cell>
        </row>
        <row r="252">
          <cell r="A252" t="str">
            <v>eq.060b</v>
          </cell>
          <cell r="D252">
            <v>11811.08</v>
          </cell>
        </row>
        <row r="253">
          <cell r="A253" t="str">
            <v>eq.062</v>
          </cell>
          <cell r="D253">
            <v>11980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559090.7</v>
          </cell>
        </row>
        <row r="263">
          <cell r="A263" t="str">
            <v>eq.078</v>
          </cell>
          <cell r="D263">
            <v>118036.2</v>
          </cell>
        </row>
        <row r="264">
          <cell r="A264" t="str">
            <v>eq.080</v>
          </cell>
          <cell r="D264">
            <v>5.43</v>
          </cell>
        </row>
        <row r="265">
          <cell r="A265" t="str">
            <v>eq.082</v>
          </cell>
          <cell r="D265">
            <v>93933</v>
          </cell>
        </row>
        <row r="266">
          <cell r="A266" t="str">
            <v>eq.082b</v>
          </cell>
          <cell r="D266">
            <v>103186.48</v>
          </cell>
        </row>
        <row r="267">
          <cell r="A267" t="str">
            <v>eq.086</v>
          </cell>
          <cell r="D267">
            <v>23459.01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127716.1</v>
          </cell>
        </row>
        <row r="271">
          <cell r="A271" t="str">
            <v>eq.090b</v>
          </cell>
          <cell r="D271">
            <v>130000</v>
          </cell>
        </row>
        <row r="272">
          <cell r="A272" t="str">
            <v>eq.100</v>
          </cell>
          <cell r="D272">
            <v>259.67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867187.52</v>
          </cell>
        </row>
        <row r="276">
          <cell r="A276" t="str">
            <v>eq.105</v>
          </cell>
          <cell r="D276">
            <v>283.47</v>
          </cell>
        </row>
        <row r="277">
          <cell r="A277" t="str">
            <v>eq.106</v>
          </cell>
          <cell r="D277">
            <v>340993.215</v>
          </cell>
        </row>
        <row r="278">
          <cell r="A278" t="str">
            <v>eq.107</v>
          </cell>
          <cell r="D278">
            <v>385329.185</v>
          </cell>
        </row>
        <row r="279">
          <cell r="A279" t="str">
            <v>eq.108</v>
          </cell>
          <cell r="D279">
            <v>2343.8033</v>
          </cell>
        </row>
        <row r="280">
          <cell r="A280" t="str">
            <v>eq.109</v>
          </cell>
          <cell r="D280">
            <v>2755.6467</v>
          </cell>
        </row>
        <row r="281">
          <cell r="A281" t="str">
            <v>eq.110</v>
          </cell>
          <cell r="D281">
            <v>3175.21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1105771.23</v>
          </cell>
        </row>
        <row r="285">
          <cell r="A285" t="str">
            <v>eq.120</v>
          </cell>
          <cell r="D285">
            <v>1200</v>
          </cell>
        </row>
        <row r="286">
          <cell r="A286" t="str">
            <v>eq.121</v>
          </cell>
          <cell r="D286">
            <v>260</v>
          </cell>
        </row>
        <row r="287">
          <cell r="A287" t="str">
            <v>eq.122</v>
          </cell>
          <cell r="D287">
            <v>10000</v>
          </cell>
        </row>
        <row r="288">
          <cell r="A288" t="str">
            <v>eq.123</v>
          </cell>
          <cell r="D288">
            <v>235012.1</v>
          </cell>
        </row>
        <row r="289">
          <cell r="A289" t="str">
            <v>eq.124</v>
          </cell>
          <cell r="D289">
            <v>310015.97</v>
          </cell>
        </row>
        <row r="290">
          <cell r="A290" t="str">
            <v>eq.125</v>
          </cell>
          <cell r="D290">
            <v>260013.39</v>
          </cell>
        </row>
        <row r="291">
          <cell r="A291" t="str">
            <v>eq.200</v>
          </cell>
          <cell r="D291">
            <v>314.05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5.57</v>
          </cell>
        </row>
        <row r="294">
          <cell r="A294" t="str">
            <v>eq.301</v>
          </cell>
          <cell r="D294">
            <v>3.39</v>
          </cell>
        </row>
        <row r="295">
          <cell r="A295" t="str">
            <v>eq.901</v>
          </cell>
          <cell r="D295">
            <v>652862.19</v>
          </cell>
        </row>
        <row r="296">
          <cell r="A296" t="str">
            <v>eq.902</v>
          </cell>
          <cell r="D296">
            <v>1799616.49</v>
          </cell>
        </row>
        <row r="297">
          <cell r="A297" t="str">
            <v>eq.976</v>
          </cell>
          <cell r="D297">
            <v>622236.81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4.71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5669.77</v>
          </cell>
        </row>
        <row r="304">
          <cell r="A304" t="str">
            <v>fi.029</v>
          </cell>
          <cell r="D304">
            <v>6491.04</v>
          </cell>
        </row>
        <row r="305">
          <cell r="A305" t="str">
            <v>fl.001</v>
          </cell>
          <cell r="D305">
            <v>350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42.82</v>
          </cell>
        </row>
        <row r="315">
          <cell r="A315" t="str">
            <v>ga.009</v>
          </cell>
          <cell r="D315">
            <v>19.83</v>
          </cell>
        </row>
        <row r="316">
          <cell r="A316" t="str">
            <v>ga.010</v>
          </cell>
          <cell r="D316">
            <v>23.4467</v>
          </cell>
        </row>
        <row r="317">
          <cell r="A317" t="str">
            <v>ga.011</v>
          </cell>
          <cell r="D317">
            <v>45.6267</v>
          </cell>
        </row>
        <row r="318">
          <cell r="A318" t="str">
            <v>ga.012</v>
          </cell>
          <cell r="D318">
            <v>81.82</v>
          </cell>
        </row>
        <row r="319">
          <cell r="A319" t="str">
            <v>ga.020</v>
          </cell>
          <cell r="D319">
            <v>190.08</v>
          </cell>
        </row>
        <row r="320">
          <cell r="A320" t="str">
            <v>ga.113</v>
          </cell>
          <cell r="D320">
            <v>866.94</v>
          </cell>
        </row>
        <row r="321">
          <cell r="A321" t="str">
            <v>ga.114</v>
          </cell>
          <cell r="D321">
            <v>1052.895</v>
          </cell>
        </row>
        <row r="322">
          <cell r="A322" t="str">
            <v>ga.116</v>
          </cell>
          <cell r="D322">
            <v>871.075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14.16</v>
          </cell>
        </row>
        <row r="327">
          <cell r="A327" t="str">
            <v>ga.153</v>
          </cell>
          <cell r="D327">
            <v>15.72</v>
          </cell>
        </row>
        <row r="328">
          <cell r="A328" t="str">
            <v>ga.156</v>
          </cell>
          <cell r="D328">
            <v>23.35</v>
          </cell>
        </row>
        <row r="329">
          <cell r="A329" t="str">
            <v>ga.159</v>
          </cell>
          <cell r="D329">
            <v>6.275</v>
          </cell>
        </row>
        <row r="330">
          <cell r="A330" t="str">
            <v>ga.160</v>
          </cell>
          <cell r="D330">
            <v>7.6033</v>
          </cell>
        </row>
        <row r="331">
          <cell r="A331" t="str">
            <v>ga.161</v>
          </cell>
          <cell r="D331">
            <v>15.8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27.24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2.15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25.035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3.56</v>
          </cell>
        </row>
        <row r="349">
          <cell r="A349" t="str">
            <v>ga.206</v>
          </cell>
          <cell r="D349">
            <v>13.82</v>
          </cell>
        </row>
        <row r="350">
          <cell r="A350" t="str">
            <v>ga.207</v>
          </cell>
          <cell r="D350">
            <v>21.98</v>
          </cell>
        </row>
        <row r="351">
          <cell r="A351" t="str">
            <v>ga.208</v>
          </cell>
          <cell r="D351">
            <v>44.2</v>
          </cell>
        </row>
        <row r="352">
          <cell r="A352" t="str">
            <v>ga.209</v>
          </cell>
          <cell r="D352">
            <v>0.86</v>
          </cell>
        </row>
        <row r="353">
          <cell r="A353" t="str">
            <v>ga.210</v>
          </cell>
          <cell r="D353">
            <v>1.71</v>
          </cell>
        </row>
        <row r="354">
          <cell r="A354" t="str">
            <v>ga.211</v>
          </cell>
          <cell r="D354">
            <v>17.13</v>
          </cell>
        </row>
        <row r="355">
          <cell r="A355" t="str">
            <v>ga.212</v>
          </cell>
          <cell r="D355">
            <v>70.15</v>
          </cell>
        </row>
        <row r="356">
          <cell r="A356" t="str">
            <v>ga.213</v>
          </cell>
          <cell r="D356">
            <v>72.41</v>
          </cell>
        </row>
        <row r="357">
          <cell r="A357" t="str">
            <v>ga.214</v>
          </cell>
          <cell r="D357">
            <v>148.09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17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204.96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80.99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45.45</v>
          </cell>
        </row>
        <row r="369">
          <cell r="A369" t="str">
            <v>her.008</v>
          </cell>
          <cell r="D369">
            <v>11.57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947.11</v>
          </cell>
        </row>
        <row r="372">
          <cell r="A372" t="str">
            <v>her.011</v>
          </cell>
          <cell r="D372">
            <v>1590.91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2.55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1.99</v>
          </cell>
        </row>
        <row r="379">
          <cell r="A379" t="str">
            <v>la.007</v>
          </cell>
          <cell r="D379">
            <v>3.9</v>
          </cell>
        </row>
        <row r="380">
          <cell r="A380" t="str">
            <v>la.008</v>
          </cell>
          <cell r="D380">
            <v>3.44</v>
          </cell>
        </row>
        <row r="381">
          <cell r="A381" t="str">
            <v>la.009</v>
          </cell>
          <cell r="D381">
            <v>4.68</v>
          </cell>
        </row>
        <row r="382">
          <cell r="A382" t="str">
            <v>la.010</v>
          </cell>
          <cell r="D382">
            <v>5.24</v>
          </cell>
        </row>
        <row r="383">
          <cell r="A383" t="str">
            <v>la.011</v>
          </cell>
          <cell r="D383">
            <v>4.44</v>
          </cell>
        </row>
        <row r="384">
          <cell r="A384" t="str">
            <v>la.012</v>
          </cell>
          <cell r="D384">
            <v>9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1628.96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1.335</v>
          </cell>
        </row>
        <row r="391">
          <cell r="A391" t="str">
            <v>li.002</v>
          </cell>
          <cell r="D391">
            <v>6.4</v>
          </cell>
        </row>
        <row r="392">
          <cell r="A392" t="str">
            <v>li.003</v>
          </cell>
          <cell r="D392">
            <v>6.4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0.91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1.6767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56.78</v>
          </cell>
        </row>
        <row r="402">
          <cell r="A402" t="str">
            <v>ma.002</v>
          </cell>
          <cell r="D402">
            <v>12.195</v>
          </cell>
        </row>
        <row r="403">
          <cell r="A403" t="str">
            <v>ma.003</v>
          </cell>
          <cell r="D403">
            <v>59.365</v>
          </cell>
        </row>
        <row r="404">
          <cell r="A404" t="str">
            <v>ma.004</v>
          </cell>
          <cell r="D404">
            <v>44.545</v>
          </cell>
        </row>
        <row r="405">
          <cell r="A405" t="str">
            <v>ma.006</v>
          </cell>
          <cell r="D405">
            <v>49.725</v>
          </cell>
        </row>
        <row r="406">
          <cell r="A406" t="str">
            <v>ma.007</v>
          </cell>
          <cell r="D406">
            <v>29.695</v>
          </cell>
        </row>
        <row r="407">
          <cell r="A407" t="str">
            <v>ma.008</v>
          </cell>
          <cell r="D407">
            <v>6.525</v>
          </cell>
        </row>
        <row r="408">
          <cell r="A408" t="str">
            <v>ma.010</v>
          </cell>
          <cell r="D408">
            <v>28.73</v>
          </cell>
        </row>
        <row r="409">
          <cell r="A409" t="str">
            <v>ma.011</v>
          </cell>
          <cell r="D409">
            <v>72.93</v>
          </cell>
        </row>
        <row r="410">
          <cell r="A410" t="str">
            <v>ma.012</v>
          </cell>
          <cell r="D410">
            <v>79.61</v>
          </cell>
        </row>
        <row r="411">
          <cell r="A411" t="str">
            <v>ma.015</v>
          </cell>
          <cell r="D411">
            <v>2.755</v>
          </cell>
        </row>
        <row r="412">
          <cell r="A412" t="str">
            <v>ma.016</v>
          </cell>
          <cell r="D412">
            <v>13.56</v>
          </cell>
        </row>
        <row r="413">
          <cell r="A413" t="str">
            <v>ma.017</v>
          </cell>
          <cell r="D413">
            <v>195.42</v>
          </cell>
        </row>
        <row r="414">
          <cell r="A414" t="str">
            <v>ma.018</v>
          </cell>
          <cell r="D414">
            <v>29.88</v>
          </cell>
        </row>
        <row r="415">
          <cell r="A415" t="str">
            <v>ma.020</v>
          </cell>
          <cell r="D415">
            <v>10.66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135.8</v>
          </cell>
        </row>
        <row r="422">
          <cell r="A422" t="str">
            <v>ma.050</v>
          </cell>
          <cell r="D422">
            <v>342.98</v>
          </cell>
        </row>
        <row r="423">
          <cell r="A423" t="str">
            <v>ma.051</v>
          </cell>
          <cell r="D423">
            <v>210.74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1.74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8710.18</v>
          </cell>
        </row>
        <row r="435">
          <cell r="A435" t="str">
            <v>pb.020</v>
          </cell>
          <cell r="D435">
            <v>8327.76</v>
          </cell>
        </row>
        <row r="436">
          <cell r="A436" t="str">
            <v>pb.030</v>
          </cell>
          <cell r="D436">
            <v>3465.97</v>
          </cell>
        </row>
        <row r="437">
          <cell r="A437" t="str">
            <v>pb.040</v>
          </cell>
          <cell r="D437">
            <v>1194.16</v>
          </cell>
        </row>
        <row r="438">
          <cell r="A438" t="str">
            <v>pb.050</v>
          </cell>
          <cell r="D438">
            <v>106.49</v>
          </cell>
        </row>
        <row r="439">
          <cell r="A439" t="str">
            <v>pb.060</v>
          </cell>
          <cell r="D439">
            <v>219.78</v>
          </cell>
        </row>
        <row r="440">
          <cell r="A440" t="str">
            <v>pb.070</v>
          </cell>
          <cell r="D440">
            <v>11770.41</v>
          </cell>
        </row>
        <row r="441">
          <cell r="A441" t="str">
            <v>pb.080</v>
          </cell>
          <cell r="D441">
            <v>8397.63</v>
          </cell>
        </row>
        <row r="442">
          <cell r="A442" t="str">
            <v>pb.090</v>
          </cell>
          <cell r="D442">
            <v>10010.23</v>
          </cell>
        </row>
        <row r="443">
          <cell r="A443" t="str">
            <v>pb.100</v>
          </cell>
          <cell r="D443">
            <v>1370.5</v>
          </cell>
        </row>
        <row r="444">
          <cell r="A444" t="str">
            <v>pb.101</v>
          </cell>
          <cell r="D444">
            <v>1749.39</v>
          </cell>
        </row>
        <row r="445">
          <cell r="A445" t="str">
            <v>pb.102</v>
          </cell>
          <cell r="D445">
            <v>1833.58</v>
          </cell>
        </row>
        <row r="446">
          <cell r="A446" t="str">
            <v>pb.140</v>
          </cell>
          <cell r="D446">
            <v>844.48</v>
          </cell>
        </row>
        <row r="447">
          <cell r="A447" t="str">
            <v>pi.002</v>
          </cell>
          <cell r="D447">
            <v>10.6933</v>
          </cell>
        </row>
        <row r="448">
          <cell r="A448" t="str">
            <v>pi.003</v>
          </cell>
          <cell r="D448">
            <v>14.2933</v>
          </cell>
        </row>
        <row r="449">
          <cell r="A449" t="str">
            <v>pi.004</v>
          </cell>
          <cell r="D449">
            <v>45.5267</v>
          </cell>
        </row>
        <row r="450">
          <cell r="A450" t="str">
            <v>pi.005</v>
          </cell>
          <cell r="D450">
            <v>130.7333</v>
          </cell>
        </row>
        <row r="451">
          <cell r="A451" t="str">
            <v>pi.006</v>
          </cell>
          <cell r="D451">
            <v>39.1567</v>
          </cell>
        </row>
        <row r="452">
          <cell r="A452" t="str">
            <v>pi.010</v>
          </cell>
          <cell r="D452">
            <v>156.7433</v>
          </cell>
        </row>
        <row r="453">
          <cell r="A453" t="str">
            <v>pi.011</v>
          </cell>
          <cell r="D453">
            <v>163.395</v>
          </cell>
        </row>
        <row r="454">
          <cell r="A454" t="str">
            <v>pi.012</v>
          </cell>
          <cell r="D454">
            <v>119.21</v>
          </cell>
        </row>
        <row r="455">
          <cell r="A455" t="str">
            <v>pi.015</v>
          </cell>
          <cell r="D455">
            <v>29.35</v>
          </cell>
        </row>
        <row r="456">
          <cell r="A456" t="str">
            <v>pi.016</v>
          </cell>
          <cell r="D456">
            <v>10.8733</v>
          </cell>
        </row>
        <row r="457">
          <cell r="A457" t="str">
            <v>pi.017</v>
          </cell>
          <cell r="D457">
            <v>38.115</v>
          </cell>
        </row>
        <row r="458">
          <cell r="A458" t="str">
            <v>pi.018</v>
          </cell>
          <cell r="D458">
            <v>411.3433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16.58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31.7833</v>
          </cell>
        </row>
        <row r="463">
          <cell r="A463" t="str">
            <v>pi.030</v>
          </cell>
          <cell r="D463">
            <v>15.88</v>
          </cell>
        </row>
        <row r="464">
          <cell r="A464" t="str">
            <v>pi.031</v>
          </cell>
          <cell r="D464">
            <v>30.8667</v>
          </cell>
        </row>
        <row r="465">
          <cell r="A465" t="str">
            <v>pi.032</v>
          </cell>
          <cell r="D465">
            <v>17.08</v>
          </cell>
        </row>
        <row r="466">
          <cell r="A466" t="str">
            <v>pi.033</v>
          </cell>
          <cell r="D466">
            <v>1.44</v>
          </cell>
        </row>
        <row r="467">
          <cell r="A467" t="str">
            <v>pi.034</v>
          </cell>
          <cell r="D467">
            <v>26.02</v>
          </cell>
        </row>
        <row r="468">
          <cell r="A468" t="str">
            <v>pi.035</v>
          </cell>
          <cell r="D468">
            <v>7.83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40.5</v>
          </cell>
        </row>
        <row r="474">
          <cell r="A474" t="str">
            <v>pi.042</v>
          </cell>
          <cell r="D474">
            <v>367.0367</v>
          </cell>
        </row>
        <row r="475">
          <cell r="A475" t="str">
            <v>pi.043</v>
          </cell>
          <cell r="D475">
            <v>170.6633</v>
          </cell>
        </row>
        <row r="476">
          <cell r="A476" t="str">
            <v>pi.044</v>
          </cell>
          <cell r="D476">
            <v>139.87</v>
          </cell>
        </row>
        <row r="477">
          <cell r="A477" t="str">
            <v>pl.001</v>
          </cell>
          <cell r="D477">
            <v>45.04</v>
          </cell>
        </row>
        <row r="478">
          <cell r="A478" t="str">
            <v>pl.002</v>
          </cell>
          <cell r="D478">
            <v>48.68</v>
          </cell>
        </row>
        <row r="479">
          <cell r="A479" t="str">
            <v>pre.010</v>
          </cell>
          <cell r="D479">
            <v>107.435</v>
          </cell>
        </row>
        <row r="480">
          <cell r="A480" t="str">
            <v>pre.030</v>
          </cell>
          <cell r="D480">
            <v>177.275</v>
          </cell>
        </row>
        <row r="481">
          <cell r="A481" t="str">
            <v>pre.040</v>
          </cell>
          <cell r="D481">
            <v>207.5</v>
          </cell>
        </row>
        <row r="482">
          <cell r="A482" t="str">
            <v>pre.050</v>
          </cell>
          <cell r="D482">
            <v>497.77</v>
          </cell>
        </row>
        <row r="483">
          <cell r="A483" t="str">
            <v>pre.055</v>
          </cell>
          <cell r="D483">
            <v>719.01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60.28</v>
          </cell>
        </row>
        <row r="514">
          <cell r="A514" t="str">
            <v>re.005</v>
          </cell>
          <cell r="D514">
            <v>2435</v>
          </cell>
        </row>
        <row r="515">
          <cell r="A515" t="str">
            <v>re.010</v>
          </cell>
          <cell r="D515">
            <v>2362</v>
          </cell>
        </row>
        <row r="516">
          <cell r="A516" t="str">
            <v>re.015</v>
          </cell>
          <cell r="D516">
            <v>12313</v>
          </cell>
        </row>
        <row r="517">
          <cell r="A517" t="str">
            <v>re.020</v>
          </cell>
          <cell r="D517">
            <v>10703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339.785</v>
          </cell>
        </row>
        <row r="521">
          <cell r="A521" t="str">
            <v>re.035</v>
          </cell>
          <cell r="D521">
            <v>52.675</v>
          </cell>
        </row>
        <row r="522">
          <cell r="A522" t="str">
            <v>re.040</v>
          </cell>
          <cell r="D522">
            <v>16.61</v>
          </cell>
        </row>
        <row r="523">
          <cell r="A523" t="str">
            <v>re.043</v>
          </cell>
          <cell r="D523">
            <v>7.07</v>
          </cell>
        </row>
        <row r="524">
          <cell r="A524" t="str">
            <v>re.045</v>
          </cell>
          <cell r="D524">
            <v>46.17</v>
          </cell>
        </row>
        <row r="525">
          <cell r="A525" t="str">
            <v>re.050</v>
          </cell>
          <cell r="D525">
            <v>33.945</v>
          </cell>
        </row>
        <row r="526">
          <cell r="A526" t="str">
            <v>re.055</v>
          </cell>
          <cell r="D526">
            <v>44.295</v>
          </cell>
        </row>
        <row r="527">
          <cell r="A527" t="str">
            <v>re.060</v>
          </cell>
          <cell r="D527">
            <v>48162.28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96.36</v>
          </cell>
        </row>
        <row r="530">
          <cell r="A530" t="str">
            <v>re.075</v>
          </cell>
          <cell r="D530">
            <v>535.79</v>
          </cell>
        </row>
        <row r="531">
          <cell r="A531" t="str">
            <v>re.080</v>
          </cell>
          <cell r="D531">
            <v>81.99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646.2667</v>
          </cell>
        </row>
        <row r="548">
          <cell r="A548" t="str">
            <v>rv.017</v>
          </cell>
          <cell r="D548">
            <v>838.6633</v>
          </cell>
        </row>
        <row r="549">
          <cell r="A549" t="str">
            <v>rv.018</v>
          </cell>
          <cell r="D549">
            <v>1022.13</v>
          </cell>
        </row>
        <row r="550">
          <cell r="A550" t="str">
            <v>rv.019</v>
          </cell>
          <cell r="D550">
            <v>426.63</v>
          </cell>
        </row>
        <row r="551">
          <cell r="A551" t="str">
            <v>rv.020</v>
          </cell>
          <cell r="D551">
            <v>5.2767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2977.99</v>
          </cell>
        </row>
        <row r="556">
          <cell r="A556" t="str">
            <v>rv.026</v>
          </cell>
          <cell r="D556">
            <v>2641.03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2857.94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0.14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3934.27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38</v>
          </cell>
        </row>
        <row r="573">
          <cell r="A573" t="str">
            <v>sa.001b</v>
          </cell>
          <cell r="D573">
            <v>23.92</v>
          </cell>
        </row>
        <row r="574">
          <cell r="A574" t="str">
            <v>sa.002</v>
          </cell>
          <cell r="D574">
            <v>32.23</v>
          </cell>
        </row>
        <row r="575">
          <cell r="A575" t="str">
            <v>sa.002b</v>
          </cell>
          <cell r="D575">
            <v>19.895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10.1633</v>
          </cell>
        </row>
        <row r="578">
          <cell r="A578" t="str">
            <v>sa.005</v>
          </cell>
          <cell r="D578">
            <v>29.22</v>
          </cell>
        </row>
        <row r="579">
          <cell r="A579" t="str">
            <v>sa.005b</v>
          </cell>
          <cell r="D579">
            <v>21.4467</v>
          </cell>
        </row>
        <row r="580">
          <cell r="A580" t="str">
            <v>sa.006</v>
          </cell>
          <cell r="D580">
            <v>34.77</v>
          </cell>
        </row>
        <row r="581">
          <cell r="A581" t="str">
            <v>sa.006b</v>
          </cell>
          <cell r="D581">
            <v>21.0167</v>
          </cell>
        </row>
        <row r="582">
          <cell r="A582" t="str">
            <v>sa.007</v>
          </cell>
          <cell r="D582">
            <v>7</v>
          </cell>
        </row>
        <row r="583">
          <cell r="A583" t="str">
            <v>sa.007b</v>
          </cell>
          <cell r="D583">
            <v>4.2967</v>
          </cell>
        </row>
        <row r="584">
          <cell r="A584" t="str">
            <v>sa.008</v>
          </cell>
          <cell r="D584">
            <v>7.49</v>
          </cell>
        </row>
        <row r="585">
          <cell r="A585" t="str">
            <v>sa.008b</v>
          </cell>
          <cell r="D585">
            <v>4.9333</v>
          </cell>
        </row>
        <row r="586">
          <cell r="A586" t="str">
            <v>sa.009</v>
          </cell>
          <cell r="D586">
            <v>3.79</v>
          </cell>
        </row>
        <row r="587">
          <cell r="A587" t="str">
            <v>sa.009b</v>
          </cell>
          <cell r="D587">
            <v>2.3533</v>
          </cell>
        </row>
        <row r="588">
          <cell r="A588" t="str">
            <v>sa.010</v>
          </cell>
          <cell r="D588">
            <v>5.24</v>
          </cell>
        </row>
        <row r="589">
          <cell r="A589" t="str">
            <v>sa.010b</v>
          </cell>
          <cell r="D589">
            <v>3.3267</v>
          </cell>
        </row>
        <row r="590">
          <cell r="A590" t="str">
            <v>sa.011</v>
          </cell>
          <cell r="D590">
            <v>8.0233</v>
          </cell>
        </row>
        <row r="591">
          <cell r="A591" t="str">
            <v>sa.012</v>
          </cell>
          <cell r="D591">
            <v>7.9</v>
          </cell>
        </row>
        <row r="592">
          <cell r="A592" t="str">
            <v>sa.014</v>
          </cell>
          <cell r="D592">
            <v>23.56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214.88</v>
          </cell>
        </row>
        <row r="596">
          <cell r="A596" t="str">
            <v>sa.018</v>
          </cell>
          <cell r="D596">
            <v>216.22</v>
          </cell>
        </row>
        <row r="597">
          <cell r="A597" t="str">
            <v>sa.019</v>
          </cell>
          <cell r="D597">
            <v>148.375</v>
          </cell>
        </row>
        <row r="598">
          <cell r="A598" t="str">
            <v>sa.020</v>
          </cell>
          <cell r="D598">
            <v>217.87</v>
          </cell>
        </row>
        <row r="599">
          <cell r="A599" t="str">
            <v>sa.021</v>
          </cell>
          <cell r="D599">
            <v>306.93</v>
          </cell>
        </row>
        <row r="600">
          <cell r="A600" t="str">
            <v>sa.025</v>
          </cell>
          <cell r="D600">
            <v>29.06</v>
          </cell>
        </row>
        <row r="601">
          <cell r="A601" t="str">
            <v>sa.026</v>
          </cell>
          <cell r="D601">
            <v>22.31</v>
          </cell>
        </row>
        <row r="602">
          <cell r="A602" t="str">
            <v>sa.027</v>
          </cell>
          <cell r="D602">
            <v>35.54</v>
          </cell>
        </row>
        <row r="603">
          <cell r="A603" t="str">
            <v>sa.028</v>
          </cell>
          <cell r="D603">
            <v>45.45</v>
          </cell>
        </row>
        <row r="604">
          <cell r="A604" t="str">
            <v>sa.029</v>
          </cell>
          <cell r="D604">
            <v>25.635</v>
          </cell>
        </row>
        <row r="605">
          <cell r="A605" t="str">
            <v>sa.030</v>
          </cell>
          <cell r="D605">
            <v>9.12</v>
          </cell>
        </row>
        <row r="606">
          <cell r="A606" t="str">
            <v>sa.031</v>
          </cell>
          <cell r="D606">
            <v>3.9</v>
          </cell>
        </row>
        <row r="607">
          <cell r="A607" t="str">
            <v>sa.059</v>
          </cell>
          <cell r="D607">
            <v>48.3167</v>
          </cell>
        </row>
        <row r="608">
          <cell r="A608" t="str">
            <v>sa.060</v>
          </cell>
          <cell r="D608">
            <v>2.995</v>
          </cell>
        </row>
        <row r="609">
          <cell r="A609" t="str">
            <v>sa.061</v>
          </cell>
          <cell r="D609">
            <v>5.065</v>
          </cell>
        </row>
        <row r="610">
          <cell r="A610" t="str">
            <v>sa.070</v>
          </cell>
          <cell r="D610">
            <v>8.08</v>
          </cell>
        </row>
        <row r="611">
          <cell r="A611" t="str">
            <v>sa.071</v>
          </cell>
          <cell r="D611">
            <v>11.545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20.54</v>
          </cell>
        </row>
        <row r="615">
          <cell r="A615" t="str">
            <v>sa.087b</v>
          </cell>
          <cell r="D615">
            <v>12.1433</v>
          </cell>
        </row>
        <row r="616">
          <cell r="A616" t="str">
            <v>sa.088</v>
          </cell>
          <cell r="D616">
            <v>24.22</v>
          </cell>
        </row>
        <row r="617">
          <cell r="A617" t="str">
            <v>sa.088b</v>
          </cell>
          <cell r="D617">
            <v>14.8867</v>
          </cell>
        </row>
        <row r="618">
          <cell r="A618" t="str">
            <v>sa.089</v>
          </cell>
          <cell r="D618">
            <v>28.73</v>
          </cell>
        </row>
        <row r="619">
          <cell r="A619" t="str">
            <v>sa.089b</v>
          </cell>
          <cell r="D619">
            <v>17.4925</v>
          </cell>
        </row>
        <row r="620">
          <cell r="A620" t="str">
            <v>sa.090</v>
          </cell>
          <cell r="D620">
            <v>34.36</v>
          </cell>
        </row>
        <row r="621">
          <cell r="A621" t="str">
            <v>sa.090b</v>
          </cell>
          <cell r="D621">
            <v>22.2925</v>
          </cell>
        </row>
        <row r="622">
          <cell r="A622" t="str">
            <v>sa.107</v>
          </cell>
          <cell r="D622">
            <v>1.51</v>
          </cell>
        </row>
        <row r="623">
          <cell r="A623" t="str">
            <v>sa.108</v>
          </cell>
          <cell r="D623">
            <v>1.815</v>
          </cell>
        </row>
        <row r="624">
          <cell r="A624" t="str">
            <v>sa.109</v>
          </cell>
          <cell r="D624">
            <v>3.98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104.75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33.65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4.57</v>
          </cell>
        </row>
        <row r="632">
          <cell r="A632" t="str">
            <v>sa.194</v>
          </cell>
          <cell r="D632">
            <v>0.73</v>
          </cell>
        </row>
        <row r="633">
          <cell r="A633" t="str">
            <v>sa.195</v>
          </cell>
          <cell r="D633">
            <v>0.8</v>
          </cell>
        </row>
        <row r="634">
          <cell r="A634" t="str">
            <v>sa.200</v>
          </cell>
          <cell r="D634">
            <v>2.425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4.745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107.4333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19.165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10.05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478.27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12.67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8.685</v>
          </cell>
        </row>
        <row r="660">
          <cell r="A660" t="str">
            <v>sa.291</v>
          </cell>
          <cell r="D660">
            <v>438.02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16.1967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6.415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</v>
          </cell>
        </row>
        <row r="678">
          <cell r="A678" t="str">
            <v>sa.331</v>
          </cell>
          <cell r="D678">
            <v>4.74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19.04</v>
          </cell>
        </row>
        <row r="691">
          <cell r="A691" t="str">
            <v>sa.350</v>
          </cell>
          <cell r="D691">
            <v>15.1</v>
          </cell>
        </row>
        <row r="692">
          <cell r="A692" t="str">
            <v>sa.351</v>
          </cell>
          <cell r="D692">
            <v>14.88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168.52</v>
          </cell>
        </row>
        <row r="695">
          <cell r="A695" t="str">
            <v>sa.354</v>
          </cell>
          <cell r="D695">
            <v>52.32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2.83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40.59</v>
          </cell>
        </row>
        <row r="702">
          <cell r="A702" t="str">
            <v>sa.367</v>
          </cell>
          <cell r="D702">
            <v>4.25</v>
          </cell>
        </row>
        <row r="703">
          <cell r="A703" t="str">
            <v>sa.368</v>
          </cell>
          <cell r="D703">
            <v>11.16</v>
          </cell>
        </row>
        <row r="704">
          <cell r="A704" t="str">
            <v>sa.369</v>
          </cell>
          <cell r="D704">
            <v>2.36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40.59</v>
          </cell>
        </row>
        <row r="707">
          <cell r="A707" t="str">
            <v>sa.700</v>
          </cell>
          <cell r="D707">
            <v>853.46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44.22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36.1</v>
          </cell>
        </row>
        <row r="722">
          <cell r="A722" t="str">
            <v>te.002</v>
          </cell>
          <cell r="D722">
            <v>3.85</v>
          </cell>
        </row>
        <row r="723">
          <cell r="A723" t="str">
            <v>te.003</v>
          </cell>
          <cell r="D723">
            <v>3.57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359.8367</v>
          </cell>
        </row>
        <row r="3">
          <cell r="A3" t="str">
            <v>ac.009</v>
          </cell>
          <cell r="D3">
            <v>5.9633</v>
          </cell>
        </row>
        <row r="4">
          <cell r="A4" t="str">
            <v>ac.010</v>
          </cell>
          <cell r="D4">
            <v>5.7567</v>
          </cell>
        </row>
        <row r="5">
          <cell r="A5" t="str">
            <v>ac.011</v>
          </cell>
          <cell r="D5">
            <v>5.83</v>
          </cell>
        </row>
        <row r="6">
          <cell r="A6" t="str">
            <v>ac.012</v>
          </cell>
          <cell r="D6">
            <v>6.2467</v>
          </cell>
        </row>
        <row r="7">
          <cell r="A7" t="str">
            <v>ac.013</v>
          </cell>
          <cell r="D7">
            <v>6.15</v>
          </cell>
        </row>
        <row r="8">
          <cell r="A8" t="str">
            <v>ac.014</v>
          </cell>
          <cell r="D8">
            <v>6.1133</v>
          </cell>
        </row>
        <row r="9">
          <cell r="A9" t="str">
            <v>ac.015</v>
          </cell>
          <cell r="D9">
            <v>5.6933</v>
          </cell>
        </row>
        <row r="10">
          <cell r="A10" t="str">
            <v>ac.016</v>
          </cell>
          <cell r="D10">
            <v>6091.4733</v>
          </cell>
        </row>
        <row r="11">
          <cell r="A11" t="str">
            <v>ac.029</v>
          </cell>
          <cell r="D11">
            <v>20.9733</v>
          </cell>
        </row>
        <row r="12">
          <cell r="A12" t="str">
            <v>ac.030</v>
          </cell>
          <cell r="D12">
            <v>8.695</v>
          </cell>
        </row>
        <row r="13">
          <cell r="A13" t="str">
            <v>ac.034</v>
          </cell>
          <cell r="D13">
            <v>10.4367</v>
          </cell>
        </row>
        <row r="14">
          <cell r="A14" t="str">
            <v>ac.040</v>
          </cell>
          <cell r="D14">
            <v>7.535</v>
          </cell>
        </row>
        <row r="15">
          <cell r="A15" t="str">
            <v>ac.050</v>
          </cell>
          <cell r="D15">
            <v>7.2933</v>
          </cell>
        </row>
        <row r="16">
          <cell r="A16" t="str">
            <v>ac.051</v>
          </cell>
          <cell r="D16">
            <v>7.0567</v>
          </cell>
        </row>
        <row r="17">
          <cell r="A17" t="str">
            <v>ac.052</v>
          </cell>
          <cell r="D17">
            <v>8.26</v>
          </cell>
        </row>
        <row r="18">
          <cell r="A18" t="str">
            <v>ac.053</v>
          </cell>
          <cell r="D18">
            <v>19.04</v>
          </cell>
        </row>
        <row r="19">
          <cell r="A19" t="str">
            <v>ac.060</v>
          </cell>
          <cell r="D19">
            <v>20.25</v>
          </cell>
        </row>
        <row r="20">
          <cell r="A20" t="str">
            <v>ac.061</v>
          </cell>
          <cell r="D20">
            <v>6.8833</v>
          </cell>
        </row>
        <row r="21">
          <cell r="A21" t="str">
            <v>ac.062</v>
          </cell>
          <cell r="D21">
            <v>7.3933</v>
          </cell>
        </row>
        <row r="22">
          <cell r="A22" t="str">
            <v>ac.070</v>
          </cell>
          <cell r="D22">
            <v>0.4867</v>
          </cell>
        </row>
        <row r="23">
          <cell r="A23" t="str">
            <v>ac.071</v>
          </cell>
          <cell r="D23">
            <v>0.53</v>
          </cell>
        </row>
        <row r="24">
          <cell r="A24" t="str">
            <v>ac.072</v>
          </cell>
          <cell r="D24">
            <v>11.7567</v>
          </cell>
        </row>
        <row r="25">
          <cell r="A25" t="str">
            <v>ac.073</v>
          </cell>
          <cell r="D25">
            <v>33.805</v>
          </cell>
        </row>
        <row r="26">
          <cell r="A26" t="str">
            <v>ac.080</v>
          </cell>
          <cell r="D26">
            <v>2.6933</v>
          </cell>
        </row>
        <row r="27">
          <cell r="A27" t="str">
            <v>ac.081</v>
          </cell>
          <cell r="D27">
            <v>3.0567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3.48</v>
          </cell>
        </row>
        <row r="30">
          <cell r="A30" t="str">
            <v>ac.091</v>
          </cell>
          <cell r="D30">
            <v>13.075</v>
          </cell>
        </row>
        <row r="31">
          <cell r="A31" t="str">
            <v>ac.092</v>
          </cell>
          <cell r="D31">
            <v>0.62</v>
          </cell>
        </row>
        <row r="32">
          <cell r="A32" t="str">
            <v>ac.093</v>
          </cell>
          <cell r="D32">
            <v>8925.14</v>
          </cell>
        </row>
        <row r="33">
          <cell r="A33" t="str">
            <v>ac.093b</v>
          </cell>
          <cell r="D33">
            <v>19937</v>
          </cell>
        </row>
        <row r="34">
          <cell r="A34" t="str">
            <v>ac.100</v>
          </cell>
          <cell r="D34">
            <v>6.1333</v>
          </cell>
        </row>
        <row r="35">
          <cell r="A35" t="str">
            <v>ac.101</v>
          </cell>
          <cell r="D35">
            <v>6.12</v>
          </cell>
        </row>
        <row r="36">
          <cell r="A36" t="str">
            <v>ac.102</v>
          </cell>
          <cell r="D36">
            <v>16.7833</v>
          </cell>
        </row>
        <row r="37">
          <cell r="A37" t="str">
            <v>ac.103</v>
          </cell>
          <cell r="D37">
            <v>28.6333</v>
          </cell>
        </row>
        <row r="38">
          <cell r="A38" t="str">
            <v>ac.104</v>
          </cell>
          <cell r="D38">
            <v>67.2133</v>
          </cell>
        </row>
        <row r="39">
          <cell r="A39" t="str">
            <v>ac.105</v>
          </cell>
          <cell r="D39">
            <v>114.91</v>
          </cell>
        </row>
        <row r="40">
          <cell r="A40" t="str">
            <v>ac.106</v>
          </cell>
          <cell r="D40">
            <v>21.0267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6.135</v>
          </cell>
        </row>
        <row r="43">
          <cell r="A43" t="str">
            <v>ac.109</v>
          </cell>
          <cell r="D43">
            <v>10.155</v>
          </cell>
        </row>
        <row r="44">
          <cell r="A44" t="str">
            <v>ac.110</v>
          </cell>
          <cell r="D44">
            <v>3.69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9.38</v>
          </cell>
        </row>
        <row r="47">
          <cell r="A47" t="str">
            <v>ac.117</v>
          </cell>
          <cell r="D47">
            <v>12.72</v>
          </cell>
        </row>
        <row r="48">
          <cell r="A48" t="str">
            <v>ac.118</v>
          </cell>
          <cell r="D48">
            <v>20.61</v>
          </cell>
        </row>
        <row r="49">
          <cell r="A49" t="str">
            <v>ac.119</v>
          </cell>
          <cell r="D49">
            <v>6.59</v>
          </cell>
        </row>
        <row r="50">
          <cell r="A50" t="str">
            <v>ac.120</v>
          </cell>
          <cell r="D50">
            <v>22.25</v>
          </cell>
        </row>
        <row r="51">
          <cell r="A51" t="str">
            <v>ac.121</v>
          </cell>
          <cell r="D51">
            <v>16.535</v>
          </cell>
        </row>
        <row r="52">
          <cell r="A52" t="str">
            <v>ac.122</v>
          </cell>
          <cell r="D52">
            <v>3.5833</v>
          </cell>
        </row>
        <row r="53">
          <cell r="A53" t="str">
            <v>ac.123</v>
          </cell>
          <cell r="D53">
            <v>5.4233</v>
          </cell>
        </row>
        <row r="54">
          <cell r="A54" t="str">
            <v>ac.124</v>
          </cell>
          <cell r="D54">
            <v>4.2933</v>
          </cell>
        </row>
        <row r="55">
          <cell r="A55" t="str">
            <v>ac.125</v>
          </cell>
          <cell r="D55">
            <v>8.9533</v>
          </cell>
        </row>
        <row r="56">
          <cell r="A56" t="str">
            <v>ac.200</v>
          </cell>
          <cell r="D56">
            <v>8.43</v>
          </cell>
        </row>
        <row r="57">
          <cell r="A57" t="str">
            <v>ac.201</v>
          </cell>
          <cell r="D57">
            <v>5.62</v>
          </cell>
        </row>
        <row r="58">
          <cell r="A58" t="str">
            <v>ac.500</v>
          </cell>
          <cell r="D58">
            <v>6.1767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19.4</v>
          </cell>
        </row>
        <row r="62">
          <cell r="A62" t="str">
            <v>ai.004</v>
          </cell>
          <cell r="D62">
            <v>4.4867</v>
          </cell>
        </row>
        <row r="63">
          <cell r="A63" t="str">
            <v>ai.005</v>
          </cell>
          <cell r="D63">
            <v>15.73</v>
          </cell>
        </row>
        <row r="64">
          <cell r="A64" t="str">
            <v>ai.006</v>
          </cell>
          <cell r="D64">
            <v>16.835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19.16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15.29</v>
          </cell>
        </row>
        <row r="75">
          <cell r="A75" t="str">
            <v>ai.060</v>
          </cell>
          <cell r="D75">
            <v>94.63</v>
          </cell>
        </row>
        <row r="76">
          <cell r="A76" t="str">
            <v>ar.001</v>
          </cell>
          <cell r="D76">
            <v>101</v>
          </cell>
        </row>
        <row r="77">
          <cell r="A77" t="str">
            <v>ar.002</v>
          </cell>
          <cell r="D77">
            <v>96</v>
          </cell>
        </row>
        <row r="78">
          <cell r="A78" t="str">
            <v>ar.003</v>
          </cell>
          <cell r="D78">
            <v>90.4</v>
          </cell>
        </row>
        <row r="79">
          <cell r="A79" t="str">
            <v>ar.004</v>
          </cell>
          <cell r="D79">
            <v>97.34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111.6167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78.9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93.2267</v>
          </cell>
        </row>
        <row r="86">
          <cell r="A86" t="str">
            <v>ar.012</v>
          </cell>
          <cell r="D86">
            <v>95</v>
          </cell>
        </row>
        <row r="87">
          <cell r="A87" t="str">
            <v>ar.013</v>
          </cell>
          <cell r="D87">
            <v>101</v>
          </cell>
        </row>
        <row r="88">
          <cell r="A88" t="str">
            <v>az.001</v>
          </cell>
          <cell r="D88">
            <v>33.03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21.6132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18.98</v>
          </cell>
        </row>
        <row r="93">
          <cell r="A93" t="str">
            <v>bl.006</v>
          </cell>
          <cell r="D93">
            <v>21.34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200</v>
          </cell>
        </row>
        <row r="96">
          <cell r="A96" t="str">
            <v>ca.001</v>
          </cell>
          <cell r="D96">
            <v>1962.81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374.19</v>
          </cell>
        </row>
        <row r="99">
          <cell r="A99" t="str">
            <v>ca.013</v>
          </cell>
          <cell r="D99">
            <v>1673.18</v>
          </cell>
        </row>
        <row r="100">
          <cell r="A100" t="str">
            <v>ca.013b</v>
          </cell>
          <cell r="D100">
            <v>574.57</v>
          </cell>
        </row>
        <row r="101">
          <cell r="A101" t="str">
            <v>ca.020</v>
          </cell>
          <cell r="D101">
            <v>1526.79</v>
          </cell>
        </row>
        <row r="102">
          <cell r="A102" t="str">
            <v>ca.030</v>
          </cell>
          <cell r="D102">
            <v>1716.08</v>
          </cell>
        </row>
        <row r="103">
          <cell r="A103" t="str">
            <v>ca.102</v>
          </cell>
          <cell r="D103">
            <v>1430</v>
          </cell>
        </row>
        <row r="104">
          <cell r="A104" t="str">
            <v>ca.103</v>
          </cell>
          <cell r="D104">
            <v>1281</v>
          </cell>
        </row>
        <row r="105">
          <cell r="A105" t="str">
            <v>ca.104</v>
          </cell>
          <cell r="D105">
            <v>1507</v>
          </cell>
        </row>
        <row r="106">
          <cell r="A106" t="str">
            <v>ca.107</v>
          </cell>
          <cell r="D106">
            <v>277</v>
          </cell>
        </row>
        <row r="107">
          <cell r="A107" t="str">
            <v>ca.108</v>
          </cell>
          <cell r="D107">
            <v>315</v>
          </cell>
        </row>
        <row r="108">
          <cell r="A108" t="str">
            <v>ca.109</v>
          </cell>
          <cell r="D108">
            <v>1048</v>
          </cell>
        </row>
        <row r="109">
          <cell r="A109" t="str">
            <v>ca.110</v>
          </cell>
          <cell r="D109">
            <v>186</v>
          </cell>
        </row>
        <row r="110">
          <cell r="A110" t="str">
            <v>ca.111</v>
          </cell>
          <cell r="D110">
            <v>183</v>
          </cell>
        </row>
        <row r="111">
          <cell r="A111" t="str">
            <v>ca.112</v>
          </cell>
          <cell r="D111">
            <v>181</v>
          </cell>
        </row>
        <row r="112">
          <cell r="A112" t="str">
            <v>ca.113</v>
          </cell>
          <cell r="D112">
            <v>797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7.285</v>
          </cell>
        </row>
        <row r="116">
          <cell r="A116" t="str">
            <v>ch.006</v>
          </cell>
          <cell r="D116">
            <v>118.03</v>
          </cell>
        </row>
        <row r="117">
          <cell r="A117" t="str">
            <v>ch.010</v>
          </cell>
          <cell r="D117">
            <v>7.2933</v>
          </cell>
        </row>
        <row r="118">
          <cell r="A118" t="str">
            <v>ch.011</v>
          </cell>
          <cell r="D118">
            <v>24.3167</v>
          </cell>
        </row>
        <row r="119">
          <cell r="A119" t="str">
            <v>ch.012</v>
          </cell>
          <cell r="D119">
            <v>150.0733</v>
          </cell>
        </row>
        <row r="120">
          <cell r="A120" t="str">
            <v>ch.013</v>
          </cell>
          <cell r="D120">
            <v>66.0667</v>
          </cell>
        </row>
        <row r="121">
          <cell r="A121" t="str">
            <v>ch.020</v>
          </cell>
          <cell r="D121">
            <v>10.66</v>
          </cell>
        </row>
        <row r="122">
          <cell r="A122" t="str">
            <v>ch.021</v>
          </cell>
          <cell r="D122">
            <v>14.63</v>
          </cell>
        </row>
        <row r="123">
          <cell r="A123" t="str">
            <v>ch.030</v>
          </cell>
          <cell r="D123">
            <v>99.38</v>
          </cell>
        </row>
        <row r="124">
          <cell r="A124" t="str">
            <v>ch.031</v>
          </cell>
          <cell r="D124">
            <v>96.44</v>
          </cell>
        </row>
        <row r="125">
          <cell r="A125" t="str">
            <v>ch.032</v>
          </cell>
          <cell r="D125">
            <v>11.37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1.6519</v>
          </cell>
        </row>
        <row r="134">
          <cell r="A134" t="str">
            <v>el.010</v>
          </cell>
          <cell r="D134">
            <v>421.49</v>
          </cell>
        </row>
        <row r="135">
          <cell r="A135" t="str">
            <v>el.011</v>
          </cell>
          <cell r="D135">
            <v>528.93</v>
          </cell>
        </row>
        <row r="136">
          <cell r="A136" t="str">
            <v>el.020</v>
          </cell>
          <cell r="D136">
            <v>49.74</v>
          </cell>
        </row>
        <row r="137">
          <cell r="A137" t="str">
            <v>el.021</v>
          </cell>
          <cell r="D137">
            <v>89.825</v>
          </cell>
        </row>
        <row r="138">
          <cell r="A138" t="str">
            <v>el.022</v>
          </cell>
          <cell r="D138">
            <v>4.2673</v>
          </cell>
        </row>
        <row r="139">
          <cell r="A139" t="str">
            <v>el.023</v>
          </cell>
          <cell r="D139">
            <v>2.3933</v>
          </cell>
        </row>
        <row r="140">
          <cell r="A140" t="str">
            <v>el.024</v>
          </cell>
          <cell r="D140">
            <v>10.59</v>
          </cell>
        </row>
        <row r="141">
          <cell r="A141" t="str">
            <v>el.025</v>
          </cell>
          <cell r="D141">
            <v>21.695</v>
          </cell>
        </row>
        <row r="142">
          <cell r="A142" t="str">
            <v>el.026</v>
          </cell>
          <cell r="D142">
            <v>6.2536</v>
          </cell>
        </row>
        <row r="143">
          <cell r="A143" t="str">
            <v>el.027</v>
          </cell>
          <cell r="D143">
            <v>1.505</v>
          </cell>
        </row>
        <row r="144">
          <cell r="A144" t="str">
            <v>el.028</v>
          </cell>
          <cell r="D144">
            <v>1.8267</v>
          </cell>
        </row>
        <row r="145">
          <cell r="A145" t="str">
            <v>el.029</v>
          </cell>
          <cell r="D145">
            <v>3.8167</v>
          </cell>
        </row>
        <row r="146">
          <cell r="A146" t="str">
            <v>el.057</v>
          </cell>
          <cell r="D146">
            <v>2.66</v>
          </cell>
        </row>
        <row r="147">
          <cell r="A147" t="str">
            <v>el.058</v>
          </cell>
          <cell r="D147">
            <v>1.31</v>
          </cell>
        </row>
        <row r="148">
          <cell r="A148" t="str">
            <v>el.059</v>
          </cell>
          <cell r="D148">
            <v>4.52</v>
          </cell>
        </row>
        <row r="149">
          <cell r="A149" t="str">
            <v>el.060</v>
          </cell>
          <cell r="D149">
            <v>2.66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17.5967</v>
          </cell>
        </row>
        <row r="153">
          <cell r="A153" t="str">
            <v>el.072</v>
          </cell>
          <cell r="D153">
            <v>21.6167</v>
          </cell>
        </row>
        <row r="154">
          <cell r="A154" t="str">
            <v>el.073</v>
          </cell>
          <cell r="D154">
            <v>25.45</v>
          </cell>
        </row>
        <row r="155">
          <cell r="A155" t="str">
            <v>el.075</v>
          </cell>
          <cell r="D155">
            <v>3.025</v>
          </cell>
        </row>
        <row r="156">
          <cell r="A156" t="str">
            <v>el.076</v>
          </cell>
          <cell r="D156">
            <v>2.7</v>
          </cell>
        </row>
        <row r="157">
          <cell r="A157" t="str">
            <v>el.080</v>
          </cell>
          <cell r="D157">
            <v>1.13</v>
          </cell>
        </row>
        <row r="158">
          <cell r="A158" t="str">
            <v>el.100</v>
          </cell>
          <cell r="D158">
            <v>17.3367</v>
          </cell>
        </row>
        <row r="159">
          <cell r="A159" t="str">
            <v>el.101</v>
          </cell>
          <cell r="D159">
            <v>33.425</v>
          </cell>
        </row>
        <row r="160">
          <cell r="A160" t="str">
            <v>el.102</v>
          </cell>
          <cell r="D160">
            <v>143.725</v>
          </cell>
        </row>
        <row r="161">
          <cell r="A161" t="str">
            <v>el.103</v>
          </cell>
          <cell r="D161">
            <v>49.44</v>
          </cell>
        </row>
        <row r="162">
          <cell r="A162" t="str">
            <v>el.104</v>
          </cell>
          <cell r="D162">
            <v>155.465</v>
          </cell>
        </row>
        <row r="163">
          <cell r="A163" t="str">
            <v>el.105</v>
          </cell>
          <cell r="D163">
            <v>281.33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15.705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45.235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5.895</v>
          </cell>
        </row>
        <row r="175">
          <cell r="A175" t="str">
            <v>el.151</v>
          </cell>
          <cell r="D175">
            <v>41.84</v>
          </cell>
        </row>
        <row r="176">
          <cell r="A176" t="str">
            <v>el.152</v>
          </cell>
          <cell r="D176">
            <v>137.69</v>
          </cell>
        </row>
        <row r="177">
          <cell r="A177" t="str">
            <v>el.159</v>
          </cell>
          <cell r="D177">
            <v>2.12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1.66</v>
          </cell>
        </row>
        <row r="181">
          <cell r="A181" t="str">
            <v>el.165</v>
          </cell>
          <cell r="D181">
            <v>4.26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5.83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2.69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45.18</v>
          </cell>
        </row>
        <row r="189">
          <cell r="A189" t="str">
            <v>el.177</v>
          </cell>
          <cell r="D189">
            <v>5.76</v>
          </cell>
        </row>
        <row r="190">
          <cell r="A190" t="str">
            <v>el.178</v>
          </cell>
          <cell r="D190">
            <v>2.785</v>
          </cell>
        </row>
        <row r="191">
          <cell r="A191" t="str">
            <v>el.179</v>
          </cell>
          <cell r="D191">
            <v>2.7233</v>
          </cell>
        </row>
        <row r="192">
          <cell r="A192" t="str">
            <v>el.180</v>
          </cell>
          <cell r="D192">
            <v>3.86</v>
          </cell>
        </row>
        <row r="193">
          <cell r="A193" t="str">
            <v>el.181</v>
          </cell>
          <cell r="D193">
            <v>2.785</v>
          </cell>
        </row>
        <row r="194">
          <cell r="A194" t="str">
            <v>el.182</v>
          </cell>
          <cell r="D194">
            <v>9.05</v>
          </cell>
        </row>
        <row r="195">
          <cell r="A195" t="str">
            <v>el.183</v>
          </cell>
          <cell r="D195">
            <v>12.89</v>
          </cell>
        </row>
        <row r="196">
          <cell r="A196" t="str">
            <v>el.184</v>
          </cell>
          <cell r="D196">
            <v>2.34</v>
          </cell>
        </row>
        <row r="197">
          <cell r="A197" t="str">
            <v>el.185</v>
          </cell>
          <cell r="D197">
            <v>2.63</v>
          </cell>
        </row>
        <row r="198">
          <cell r="A198" t="str">
            <v>el.186</v>
          </cell>
          <cell r="D198">
            <v>1.53</v>
          </cell>
        </row>
        <row r="199">
          <cell r="A199" t="str">
            <v>el.187</v>
          </cell>
          <cell r="D199">
            <v>2.435</v>
          </cell>
        </row>
        <row r="200">
          <cell r="A200" t="str">
            <v>el.188</v>
          </cell>
          <cell r="D200">
            <v>3.785</v>
          </cell>
        </row>
        <row r="201">
          <cell r="A201" t="str">
            <v>el.189</v>
          </cell>
          <cell r="D201">
            <v>5.585</v>
          </cell>
        </row>
        <row r="202">
          <cell r="A202" t="str">
            <v>el.190</v>
          </cell>
          <cell r="D202">
            <v>10.91</v>
          </cell>
        </row>
        <row r="203">
          <cell r="A203" t="str">
            <v>eq.001</v>
          </cell>
          <cell r="D203">
            <v>361650.6075</v>
          </cell>
        </row>
        <row r="204">
          <cell r="A204" t="str">
            <v>eq.001b</v>
          </cell>
          <cell r="D204">
            <v>349321.27</v>
          </cell>
        </row>
        <row r="205">
          <cell r="A205" t="str">
            <v>eq.002</v>
          </cell>
          <cell r="D205">
            <v>66652.8372</v>
          </cell>
        </row>
        <row r="206">
          <cell r="A206" t="str">
            <v>eq.002b</v>
          </cell>
          <cell r="D206">
            <v>69683.26</v>
          </cell>
        </row>
        <row r="207">
          <cell r="A207" t="str">
            <v>eq.003</v>
          </cell>
          <cell r="D207">
            <v>309.97</v>
          </cell>
        </row>
        <row r="208">
          <cell r="A208" t="str">
            <v>eq.004</v>
          </cell>
          <cell r="D208">
            <v>444.82</v>
          </cell>
        </row>
        <row r="209">
          <cell r="A209" t="str">
            <v>eq.005</v>
          </cell>
          <cell r="D209">
            <v>253.63</v>
          </cell>
        </row>
        <row r="210">
          <cell r="A210" t="str">
            <v>eq.006</v>
          </cell>
          <cell r="D210">
            <v>4.98</v>
          </cell>
        </row>
        <row r="211">
          <cell r="A211" t="str">
            <v>eq.007</v>
          </cell>
          <cell r="D211">
            <v>650323.3042</v>
          </cell>
        </row>
        <row r="212">
          <cell r="A212" t="str">
            <v>eq.007b</v>
          </cell>
          <cell r="D212">
            <v>530590</v>
          </cell>
        </row>
        <row r="213">
          <cell r="A213" t="str">
            <v>eq.008</v>
          </cell>
          <cell r="D213">
            <v>256.63</v>
          </cell>
        </row>
        <row r="214">
          <cell r="A214" t="str">
            <v>eq.009</v>
          </cell>
          <cell r="D214">
            <v>966640.1238</v>
          </cell>
        </row>
        <row r="215">
          <cell r="A215" t="str">
            <v>eq.009b</v>
          </cell>
          <cell r="D215">
            <v>1234810</v>
          </cell>
        </row>
        <row r="216">
          <cell r="A216" t="str">
            <v>eq.010</v>
          </cell>
          <cell r="D216">
            <v>383.98</v>
          </cell>
        </row>
        <row r="217">
          <cell r="A217" t="str">
            <v>eq.011</v>
          </cell>
          <cell r="D217">
            <v>688802.58</v>
          </cell>
        </row>
        <row r="218">
          <cell r="A218" t="str">
            <v>eq.012</v>
          </cell>
          <cell r="D218">
            <v>309.97</v>
          </cell>
        </row>
        <row r="219">
          <cell r="A219" t="str">
            <v>eq.013</v>
          </cell>
          <cell r="D219">
            <v>876284.1154</v>
          </cell>
        </row>
        <row r="220">
          <cell r="A220" t="str">
            <v>eq.013b</v>
          </cell>
          <cell r="D220">
            <v>1089310</v>
          </cell>
        </row>
        <row r="221">
          <cell r="A221" t="str">
            <v>eq.014</v>
          </cell>
          <cell r="D221">
            <v>297.34</v>
          </cell>
        </row>
        <row r="222">
          <cell r="A222" t="str">
            <v>eq.015</v>
          </cell>
          <cell r="D222">
            <v>520594.98</v>
          </cell>
        </row>
        <row r="223">
          <cell r="A223" t="str">
            <v>eq.016</v>
          </cell>
          <cell r="D223">
            <v>184.33</v>
          </cell>
        </row>
        <row r="224">
          <cell r="A224" t="str">
            <v>eq.017</v>
          </cell>
          <cell r="D224">
            <v>709529.57</v>
          </cell>
        </row>
        <row r="225">
          <cell r="A225" t="str">
            <v>eq.018</v>
          </cell>
          <cell r="D225">
            <v>256.81</v>
          </cell>
        </row>
        <row r="226">
          <cell r="A226" t="str">
            <v>eq.019</v>
          </cell>
          <cell r="D226">
            <v>986901.35</v>
          </cell>
        </row>
        <row r="227">
          <cell r="A227" t="str">
            <v>eq.019b</v>
          </cell>
          <cell r="D227">
            <v>604205.93</v>
          </cell>
        </row>
        <row r="228">
          <cell r="A228" t="str">
            <v>eq.020</v>
          </cell>
          <cell r="D228">
            <v>444.82</v>
          </cell>
        </row>
        <row r="229">
          <cell r="A229" t="str">
            <v>eq.021</v>
          </cell>
          <cell r="D229">
            <v>380117.52</v>
          </cell>
        </row>
        <row r="230">
          <cell r="A230" t="str">
            <v>eq.022</v>
          </cell>
          <cell r="D230">
            <v>159.96</v>
          </cell>
        </row>
        <row r="231">
          <cell r="A231" t="str">
            <v>eq.024</v>
          </cell>
          <cell r="D231">
            <v>1307511.5019</v>
          </cell>
        </row>
        <row r="232">
          <cell r="A232" t="str">
            <v>eq.024b</v>
          </cell>
          <cell r="D232">
            <v>2818335</v>
          </cell>
        </row>
        <row r="233">
          <cell r="A233" t="str">
            <v>eq.025</v>
          </cell>
          <cell r="D233">
            <v>410.2</v>
          </cell>
        </row>
        <row r="234">
          <cell r="A234" t="str">
            <v>eq.026</v>
          </cell>
          <cell r="D234">
            <v>12851.2297</v>
          </cell>
        </row>
        <row r="235">
          <cell r="A235" t="str">
            <v>eq.026b</v>
          </cell>
          <cell r="D235">
            <v>16509.4</v>
          </cell>
        </row>
        <row r="236">
          <cell r="A236" t="str">
            <v>eq.028</v>
          </cell>
          <cell r="D236">
            <v>9225.0303</v>
          </cell>
        </row>
        <row r="237">
          <cell r="A237" t="str">
            <v>eq.028b</v>
          </cell>
          <cell r="D237">
            <v>3613.25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16351.6626</v>
          </cell>
        </row>
        <row r="241">
          <cell r="A241" t="str">
            <v>eq.040b</v>
          </cell>
          <cell r="D241">
            <v>11785.5</v>
          </cell>
        </row>
        <row r="242">
          <cell r="A242" t="str">
            <v>eq.044</v>
          </cell>
          <cell r="D242">
            <v>26578.2071</v>
          </cell>
        </row>
        <row r="243">
          <cell r="A243" t="str">
            <v>eq.044b</v>
          </cell>
          <cell r="D243">
            <v>51099.6</v>
          </cell>
        </row>
        <row r="244">
          <cell r="A244" t="str">
            <v>eq.048</v>
          </cell>
          <cell r="D244">
            <v>135800.75</v>
          </cell>
        </row>
        <row r="245">
          <cell r="A245" t="str">
            <v>eq.050</v>
          </cell>
          <cell r="D245">
            <v>88565.79</v>
          </cell>
        </row>
        <row r="246">
          <cell r="A246" t="str">
            <v>eq.052</v>
          </cell>
          <cell r="D246">
            <v>100374.46</v>
          </cell>
        </row>
        <row r="247">
          <cell r="A247" t="str">
            <v>eq.054</v>
          </cell>
          <cell r="D247">
            <v>44782.11</v>
          </cell>
        </row>
        <row r="248">
          <cell r="A248" t="str">
            <v>eq.054b</v>
          </cell>
          <cell r="D248">
            <v>49576</v>
          </cell>
        </row>
        <row r="249">
          <cell r="A249" t="str">
            <v>eq.058</v>
          </cell>
          <cell r="D249">
            <v>230843.1627</v>
          </cell>
        </row>
        <row r="250">
          <cell r="A250" t="str">
            <v>eq.058b</v>
          </cell>
          <cell r="D250">
            <v>440115</v>
          </cell>
        </row>
        <row r="251">
          <cell r="A251" t="str">
            <v>eq.060</v>
          </cell>
          <cell r="D251">
            <v>16116.3366</v>
          </cell>
        </row>
        <row r="252">
          <cell r="A252" t="str">
            <v>eq.060b</v>
          </cell>
          <cell r="D252">
            <v>12149.25</v>
          </cell>
        </row>
        <row r="253">
          <cell r="A253" t="str">
            <v>eq.062</v>
          </cell>
          <cell r="D253">
            <v>16400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575210</v>
          </cell>
        </row>
        <row r="263">
          <cell r="A263" t="str">
            <v>eq.078</v>
          </cell>
          <cell r="D263">
            <v>141524.89</v>
          </cell>
        </row>
        <row r="264">
          <cell r="A264" t="str">
            <v>eq.080</v>
          </cell>
          <cell r="D264">
            <v>5.63</v>
          </cell>
        </row>
        <row r="265">
          <cell r="A265" t="str">
            <v>eq.082</v>
          </cell>
          <cell r="D265">
            <v>106997.506</v>
          </cell>
        </row>
        <row r="266">
          <cell r="A266" t="str">
            <v>eq.082b</v>
          </cell>
          <cell r="D266">
            <v>117537.99</v>
          </cell>
        </row>
        <row r="267">
          <cell r="A267" t="str">
            <v>eq.086</v>
          </cell>
          <cell r="D267">
            <v>23931.67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140487.71</v>
          </cell>
        </row>
        <row r="271">
          <cell r="A271" t="str">
            <v>eq.090b</v>
          </cell>
          <cell r="D271">
            <v>143000</v>
          </cell>
        </row>
        <row r="272">
          <cell r="A272" t="str">
            <v>eq.100</v>
          </cell>
          <cell r="D272">
            <v>260.84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892157.6</v>
          </cell>
        </row>
        <row r="276">
          <cell r="A276" t="str">
            <v>eq.105</v>
          </cell>
          <cell r="D276">
            <v>287.16</v>
          </cell>
        </row>
        <row r="277">
          <cell r="A277" t="str">
            <v>eq.106</v>
          </cell>
          <cell r="D277">
            <v>346124.435</v>
          </cell>
        </row>
        <row r="278">
          <cell r="A278" t="str">
            <v>eq.107</v>
          </cell>
          <cell r="D278">
            <v>391236.2</v>
          </cell>
        </row>
        <row r="279">
          <cell r="A279" t="str">
            <v>eq.108</v>
          </cell>
          <cell r="D279">
            <v>2481.5433</v>
          </cell>
        </row>
        <row r="280">
          <cell r="A280" t="str">
            <v>eq.109</v>
          </cell>
          <cell r="D280">
            <v>2915.9767</v>
          </cell>
        </row>
        <row r="281">
          <cell r="A281" t="str">
            <v>eq.110</v>
          </cell>
          <cell r="D281">
            <v>3362.5367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1203071.6</v>
          </cell>
        </row>
        <row r="285">
          <cell r="A285" t="str">
            <v>eq.120</v>
          </cell>
          <cell r="D285">
            <v>1500</v>
          </cell>
        </row>
        <row r="286">
          <cell r="A286" t="str">
            <v>eq.121</v>
          </cell>
          <cell r="D286">
            <v>300</v>
          </cell>
        </row>
        <row r="287">
          <cell r="A287" t="str">
            <v>eq.122</v>
          </cell>
          <cell r="D287">
            <v>14000</v>
          </cell>
        </row>
        <row r="288">
          <cell r="A288" t="str">
            <v>eq.123</v>
          </cell>
          <cell r="D288">
            <v>241740.98</v>
          </cell>
        </row>
        <row r="289">
          <cell r="A289" t="str">
            <v>eq.124</v>
          </cell>
          <cell r="D289">
            <v>367387.5</v>
          </cell>
        </row>
        <row r="290">
          <cell r="A290" t="str">
            <v>eq.125</v>
          </cell>
          <cell r="D290">
            <v>269417.5</v>
          </cell>
        </row>
        <row r="291">
          <cell r="A291" t="str">
            <v>eq.200</v>
          </cell>
          <cell r="D291">
            <v>322.31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5.57</v>
          </cell>
        </row>
        <row r="294">
          <cell r="A294" t="str">
            <v>eq.301</v>
          </cell>
          <cell r="D294">
            <v>3.26</v>
          </cell>
        </row>
        <row r="295">
          <cell r="A295" t="str">
            <v>eq.901</v>
          </cell>
          <cell r="D295">
            <v>671554.96</v>
          </cell>
        </row>
        <row r="296">
          <cell r="A296" t="str">
            <v>eq.902</v>
          </cell>
          <cell r="D296">
            <v>1851245</v>
          </cell>
        </row>
        <row r="297">
          <cell r="A297" t="str">
            <v>eq.976</v>
          </cell>
          <cell r="D297">
            <v>641897.5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4.85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6948.06</v>
          </cell>
        </row>
        <row r="304">
          <cell r="A304" t="str">
            <v>fi.029</v>
          </cell>
          <cell r="D304">
            <v>8935.5</v>
          </cell>
        </row>
        <row r="305">
          <cell r="A305" t="str">
            <v>fl.001</v>
          </cell>
          <cell r="D305">
            <v>400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45.805</v>
          </cell>
        </row>
        <row r="315">
          <cell r="A315" t="str">
            <v>ga.009</v>
          </cell>
          <cell r="D315">
            <v>21.49</v>
          </cell>
        </row>
        <row r="316">
          <cell r="A316" t="str">
            <v>ga.010</v>
          </cell>
          <cell r="D316">
            <v>23.7833</v>
          </cell>
        </row>
        <row r="317">
          <cell r="A317" t="str">
            <v>ga.011</v>
          </cell>
          <cell r="D317">
            <v>46.9933</v>
          </cell>
        </row>
        <row r="318">
          <cell r="A318" t="str">
            <v>ga.012</v>
          </cell>
          <cell r="D318">
            <v>90.08</v>
          </cell>
        </row>
        <row r="319">
          <cell r="A319" t="str">
            <v>ga.020</v>
          </cell>
          <cell r="D319">
            <v>194.21</v>
          </cell>
        </row>
        <row r="320">
          <cell r="A320" t="str">
            <v>ga.113</v>
          </cell>
          <cell r="D320">
            <v>887.6</v>
          </cell>
        </row>
        <row r="321">
          <cell r="A321" t="str">
            <v>ga.114</v>
          </cell>
          <cell r="D321">
            <v>1147.935</v>
          </cell>
        </row>
        <row r="322">
          <cell r="A322" t="str">
            <v>ga.116</v>
          </cell>
          <cell r="D322">
            <v>871.075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14.525</v>
          </cell>
        </row>
        <row r="327">
          <cell r="A327" t="str">
            <v>ga.153</v>
          </cell>
          <cell r="D327">
            <v>16.18</v>
          </cell>
        </row>
        <row r="328">
          <cell r="A328" t="str">
            <v>ga.156</v>
          </cell>
          <cell r="D328">
            <v>24.035</v>
          </cell>
        </row>
        <row r="329">
          <cell r="A329" t="str">
            <v>ga.159</v>
          </cell>
          <cell r="D329">
            <v>6.37</v>
          </cell>
        </row>
        <row r="330">
          <cell r="A330" t="str">
            <v>ga.160</v>
          </cell>
          <cell r="D330">
            <v>7.6867</v>
          </cell>
        </row>
        <row r="331">
          <cell r="A331" t="str">
            <v>ga.161</v>
          </cell>
          <cell r="D331">
            <v>16.045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27.745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2.95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25.315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3.61</v>
          </cell>
        </row>
        <row r="349">
          <cell r="A349" t="str">
            <v>ga.206</v>
          </cell>
          <cell r="D349">
            <v>14.17</v>
          </cell>
        </row>
        <row r="350">
          <cell r="A350" t="str">
            <v>ga.207</v>
          </cell>
          <cell r="D350">
            <v>23.17</v>
          </cell>
        </row>
        <row r="351">
          <cell r="A351" t="str">
            <v>ga.208</v>
          </cell>
          <cell r="D351">
            <v>46.75</v>
          </cell>
        </row>
        <row r="352">
          <cell r="A352" t="str">
            <v>ga.209</v>
          </cell>
          <cell r="D352">
            <v>0.87</v>
          </cell>
        </row>
        <row r="353">
          <cell r="A353" t="str">
            <v>ga.210</v>
          </cell>
          <cell r="D353">
            <v>1.74</v>
          </cell>
        </row>
        <row r="354">
          <cell r="A354" t="str">
            <v>ga.211</v>
          </cell>
          <cell r="D354">
            <v>17.5</v>
          </cell>
        </row>
        <row r="355">
          <cell r="A355" t="str">
            <v>ga.212</v>
          </cell>
          <cell r="D355">
            <v>71.59</v>
          </cell>
        </row>
        <row r="356">
          <cell r="A356" t="str">
            <v>ga.213</v>
          </cell>
          <cell r="D356">
            <v>72.62</v>
          </cell>
        </row>
        <row r="357">
          <cell r="A357" t="str">
            <v>ga.214</v>
          </cell>
          <cell r="D357">
            <v>153.75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18.13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232.23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93.39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48.76</v>
          </cell>
        </row>
        <row r="369">
          <cell r="A369" t="str">
            <v>her.008</v>
          </cell>
          <cell r="D369">
            <v>13.22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1128.1</v>
          </cell>
        </row>
        <row r="372">
          <cell r="A372" t="str">
            <v>her.011</v>
          </cell>
          <cell r="D372">
            <v>1890.08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2.69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2.1</v>
          </cell>
        </row>
        <row r="379">
          <cell r="A379" t="str">
            <v>la.007</v>
          </cell>
          <cell r="D379">
            <v>4.2</v>
          </cell>
        </row>
        <row r="380">
          <cell r="A380" t="str">
            <v>la.008</v>
          </cell>
          <cell r="D380">
            <v>3.63</v>
          </cell>
        </row>
        <row r="381">
          <cell r="A381" t="str">
            <v>la.009</v>
          </cell>
          <cell r="D381">
            <v>4.94</v>
          </cell>
        </row>
        <row r="382">
          <cell r="A382" t="str">
            <v>la.010</v>
          </cell>
          <cell r="D382">
            <v>5.53</v>
          </cell>
        </row>
        <row r="383">
          <cell r="A383" t="str">
            <v>la.011</v>
          </cell>
          <cell r="D383">
            <v>4.69</v>
          </cell>
        </row>
        <row r="384">
          <cell r="A384" t="str">
            <v>la.012</v>
          </cell>
          <cell r="D384">
            <v>9.5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1800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1.525</v>
          </cell>
        </row>
        <row r="391">
          <cell r="A391" t="str">
            <v>li.002</v>
          </cell>
          <cell r="D391">
            <v>6.79</v>
          </cell>
        </row>
        <row r="392">
          <cell r="A392" t="str">
            <v>li.003</v>
          </cell>
          <cell r="D392">
            <v>6.79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0.92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1.9733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57.715</v>
          </cell>
        </row>
        <row r="402">
          <cell r="A402" t="str">
            <v>ma.002</v>
          </cell>
          <cell r="D402">
            <v>12.52</v>
          </cell>
        </row>
        <row r="403">
          <cell r="A403" t="str">
            <v>ma.003</v>
          </cell>
          <cell r="D403">
            <v>62.425</v>
          </cell>
        </row>
        <row r="404">
          <cell r="A404" t="str">
            <v>ma.004</v>
          </cell>
          <cell r="D404">
            <v>46.825</v>
          </cell>
        </row>
        <row r="405">
          <cell r="A405" t="str">
            <v>ma.006</v>
          </cell>
          <cell r="D405">
            <v>50.665</v>
          </cell>
        </row>
        <row r="406">
          <cell r="A406" t="str">
            <v>ma.007</v>
          </cell>
          <cell r="D406">
            <v>31.215</v>
          </cell>
        </row>
        <row r="407">
          <cell r="A407" t="str">
            <v>ma.008</v>
          </cell>
          <cell r="D407">
            <v>6.775</v>
          </cell>
        </row>
        <row r="408">
          <cell r="A408" t="str">
            <v>ma.010</v>
          </cell>
          <cell r="D408">
            <v>29.485</v>
          </cell>
        </row>
        <row r="409">
          <cell r="A409" t="str">
            <v>ma.011</v>
          </cell>
          <cell r="D409">
            <v>73.575</v>
          </cell>
        </row>
        <row r="410">
          <cell r="A410" t="str">
            <v>ma.012</v>
          </cell>
          <cell r="D410">
            <v>80.375</v>
          </cell>
        </row>
        <row r="411">
          <cell r="A411" t="str">
            <v>ma.015</v>
          </cell>
          <cell r="D411">
            <v>2.805</v>
          </cell>
        </row>
        <row r="412">
          <cell r="A412" t="str">
            <v>ma.016</v>
          </cell>
          <cell r="D412">
            <v>15.06</v>
          </cell>
        </row>
        <row r="413">
          <cell r="A413" t="str">
            <v>ma.017</v>
          </cell>
          <cell r="D413">
            <v>208.45</v>
          </cell>
        </row>
        <row r="414">
          <cell r="A414" t="str">
            <v>ma.018</v>
          </cell>
          <cell r="D414">
            <v>31.87</v>
          </cell>
        </row>
        <row r="415">
          <cell r="A415" t="str">
            <v>ma.020</v>
          </cell>
          <cell r="D415">
            <v>10.94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139.43</v>
          </cell>
        </row>
        <row r="422">
          <cell r="A422" t="str">
            <v>ma.050</v>
          </cell>
          <cell r="D422">
            <v>347.11</v>
          </cell>
        </row>
        <row r="423">
          <cell r="A423" t="str">
            <v>ma.051</v>
          </cell>
          <cell r="D423">
            <v>210.74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1.78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10079.72</v>
          </cell>
        </row>
        <row r="435">
          <cell r="A435" t="str">
            <v>pb.020</v>
          </cell>
          <cell r="D435">
            <v>10403.33</v>
          </cell>
        </row>
        <row r="436">
          <cell r="A436" t="str">
            <v>pb.030</v>
          </cell>
          <cell r="D436">
            <v>4010.94</v>
          </cell>
        </row>
        <row r="437">
          <cell r="A437" t="str">
            <v>pb.040</v>
          </cell>
          <cell r="D437">
            <v>1418.31</v>
          </cell>
        </row>
        <row r="438">
          <cell r="A438" t="str">
            <v>pb.050</v>
          </cell>
          <cell r="D438">
            <v>110.5</v>
          </cell>
        </row>
        <row r="439">
          <cell r="A439" t="str">
            <v>pb.060</v>
          </cell>
          <cell r="D439">
            <v>253.71</v>
          </cell>
        </row>
        <row r="440">
          <cell r="A440" t="str">
            <v>pb.070</v>
          </cell>
          <cell r="D440">
            <v>12766.25</v>
          </cell>
        </row>
        <row r="441">
          <cell r="A441" t="str">
            <v>pb.080</v>
          </cell>
          <cell r="D441">
            <v>8397.63</v>
          </cell>
        </row>
        <row r="442">
          <cell r="A442" t="str">
            <v>pb.090</v>
          </cell>
          <cell r="D442">
            <v>11584.18</v>
          </cell>
        </row>
        <row r="443">
          <cell r="A443" t="str">
            <v>pb.100</v>
          </cell>
          <cell r="D443">
            <v>1464.7</v>
          </cell>
        </row>
        <row r="444">
          <cell r="A444" t="str">
            <v>pb.101</v>
          </cell>
          <cell r="D444">
            <v>1857.55</v>
          </cell>
        </row>
        <row r="445">
          <cell r="A445" t="str">
            <v>pb.102</v>
          </cell>
          <cell r="D445">
            <v>1944.85</v>
          </cell>
        </row>
        <row r="446">
          <cell r="A446" t="str">
            <v>pb.140</v>
          </cell>
          <cell r="D446">
            <v>977.26</v>
          </cell>
        </row>
        <row r="447">
          <cell r="A447" t="str">
            <v>pi.002</v>
          </cell>
          <cell r="D447">
            <v>11.1333</v>
          </cell>
        </row>
        <row r="448">
          <cell r="A448" t="str">
            <v>pi.003</v>
          </cell>
          <cell r="D448">
            <v>14.6567</v>
          </cell>
        </row>
        <row r="449">
          <cell r="A449" t="str">
            <v>pi.004</v>
          </cell>
          <cell r="D449">
            <v>50.31</v>
          </cell>
        </row>
        <row r="450">
          <cell r="A450" t="str">
            <v>pi.005</v>
          </cell>
          <cell r="D450">
            <v>140.4467</v>
          </cell>
        </row>
        <row r="451">
          <cell r="A451" t="str">
            <v>pi.006</v>
          </cell>
          <cell r="D451">
            <v>41.4933</v>
          </cell>
        </row>
        <row r="452">
          <cell r="A452" t="str">
            <v>pi.010</v>
          </cell>
          <cell r="D452">
            <v>181.3667</v>
          </cell>
        </row>
        <row r="453">
          <cell r="A453" t="str">
            <v>pi.011</v>
          </cell>
          <cell r="D453">
            <v>173.515</v>
          </cell>
        </row>
        <row r="454">
          <cell r="A454" t="str">
            <v>pi.012</v>
          </cell>
          <cell r="D454">
            <v>119.46</v>
          </cell>
        </row>
        <row r="455">
          <cell r="A455" t="str">
            <v>pi.015</v>
          </cell>
          <cell r="D455">
            <v>31.75</v>
          </cell>
        </row>
        <row r="456">
          <cell r="A456" t="str">
            <v>pi.016</v>
          </cell>
          <cell r="D456">
            <v>11.86</v>
          </cell>
        </row>
        <row r="457">
          <cell r="A457" t="str">
            <v>pi.017</v>
          </cell>
          <cell r="D457">
            <v>40.765</v>
          </cell>
        </row>
        <row r="458">
          <cell r="A458" t="str">
            <v>pi.018</v>
          </cell>
          <cell r="D458">
            <v>423.39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17.12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32.8067</v>
          </cell>
        </row>
        <row r="463">
          <cell r="A463" t="str">
            <v>pi.030</v>
          </cell>
          <cell r="D463">
            <v>16.155</v>
          </cell>
        </row>
        <row r="464">
          <cell r="A464" t="str">
            <v>pi.031</v>
          </cell>
          <cell r="D464">
            <v>34.06</v>
          </cell>
        </row>
        <row r="465">
          <cell r="A465" t="str">
            <v>pi.032</v>
          </cell>
          <cell r="D465">
            <v>17.4467</v>
          </cell>
        </row>
        <row r="466">
          <cell r="A466" t="str">
            <v>pi.033</v>
          </cell>
          <cell r="D466">
            <v>1.5633</v>
          </cell>
        </row>
        <row r="467">
          <cell r="A467" t="str">
            <v>pi.034</v>
          </cell>
          <cell r="D467">
            <v>28.97</v>
          </cell>
        </row>
        <row r="468">
          <cell r="A468" t="str">
            <v>pi.035</v>
          </cell>
          <cell r="D468">
            <v>8.69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43.74</v>
          </cell>
        </row>
        <row r="474">
          <cell r="A474" t="str">
            <v>pi.042</v>
          </cell>
          <cell r="D474">
            <v>381.0867</v>
          </cell>
        </row>
        <row r="475">
          <cell r="A475" t="str">
            <v>pi.043</v>
          </cell>
          <cell r="D475">
            <v>182.6733</v>
          </cell>
        </row>
        <row r="476">
          <cell r="A476" t="str">
            <v>pi.044</v>
          </cell>
          <cell r="D476">
            <v>149.4367</v>
          </cell>
        </row>
        <row r="477">
          <cell r="A477" t="str">
            <v>pl.001</v>
          </cell>
          <cell r="D477">
            <v>43.8</v>
          </cell>
        </row>
        <row r="478">
          <cell r="A478" t="str">
            <v>pl.002</v>
          </cell>
          <cell r="D478">
            <v>48.76</v>
          </cell>
        </row>
        <row r="479">
          <cell r="A479" t="str">
            <v>pre.010</v>
          </cell>
          <cell r="D479">
            <v>109.505</v>
          </cell>
        </row>
        <row r="480">
          <cell r="A480" t="str">
            <v>pre.030</v>
          </cell>
          <cell r="D480">
            <v>179.34</v>
          </cell>
        </row>
        <row r="481">
          <cell r="A481" t="str">
            <v>pre.040</v>
          </cell>
          <cell r="D481">
            <v>207.5</v>
          </cell>
        </row>
        <row r="482">
          <cell r="A482" t="str">
            <v>pre.050</v>
          </cell>
          <cell r="D482">
            <v>497.77</v>
          </cell>
        </row>
        <row r="483">
          <cell r="A483" t="str">
            <v>pre.055</v>
          </cell>
          <cell r="D483">
            <v>719.01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60.28</v>
          </cell>
        </row>
        <row r="514">
          <cell r="A514" t="str">
            <v>re.005</v>
          </cell>
          <cell r="D514">
            <v>3015</v>
          </cell>
        </row>
        <row r="515">
          <cell r="A515" t="str">
            <v>re.010</v>
          </cell>
          <cell r="D515">
            <v>2920</v>
          </cell>
        </row>
        <row r="516">
          <cell r="A516" t="str">
            <v>re.015</v>
          </cell>
          <cell r="D516">
            <v>15222</v>
          </cell>
        </row>
        <row r="517">
          <cell r="A517" t="str">
            <v>re.020</v>
          </cell>
          <cell r="D517">
            <v>13238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354.72</v>
          </cell>
        </row>
        <row r="521">
          <cell r="A521" t="str">
            <v>re.035</v>
          </cell>
          <cell r="D521">
            <v>51.415</v>
          </cell>
        </row>
        <row r="522">
          <cell r="A522" t="str">
            <v>re.040</v>
          </cell>
          <cell r="D522">
            <v>14.66</v>
          </cell>
        </row>
        <row r="523">
          <cell r="A523" t="str">
            <v>re.043</v>
          </cell>
          <cell r="D523">
            <v>7.415</v>
          </cell>
        </row>
        <row r="524">
          <cell r="A524" t="str">
            <v>re.045</v>
          </cell>
          <cell r="D524">
            <v>46.3</v>
          </cell>
        </row>
        <row r="525">
          <cell r="A525" t="str">
            <v>re.050</v>
          </cell>
          <cell r="D525">
            <v>34.345</v>
          </cell>
        </row>
        <row r="526">
          <cell r="A526" t="str">
            <v>re.055</v>
          </cell>
          <cell r="D526">
            <v>43.115</v>
          </cell>
        </row>
        <row r="527">
          <cell r="A527" t="str">
            <v>re.060</v>
          </cell>
          <cell r="D527">
            <v>49744.025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100.55</v>
          </cell>
        </row>
        <row r="530">
          <cell r="A530" t="str">
            <v>re.075</v>
          </cell>
          <cell r="D530">
            <v>542.8</v>
          </cell>
        </row>
        <row r="531">
          <cell r="A531" t="str">
            <v>re.080</v>
          </cell>
          <cell r="D531">
            <v>83.78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652.1633</v>
          </cell>
        </row>
        <row r="548">
          <cell r="A548" t="str">
            <v>rv.017</v>
          </cell>
          <cell r="D548">
            <v>845.62</v>
          </cell>
        </row>
        <row r="549">
          <cell r="A549" t="str">
            <v>rv.018</v>
          </cell>
          <cell r="D549">
            <v>1030.9767</v>
          </cell>
        </row>
        <row r="550">
          <cell r="A550" t="str">
            <v>rv.019</v>
          </cell>
          <cell r="D550">
            <v>433.6467</v>
          </cell>
        </row>
        <row r="551">
          <cell r="A551" t="str">
            <v>rv.020</v>
          </cell>
          <cell r="D551">
            <v>5.2367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3125.42</v>
          </cell>
        </row>
        <row r="556">
          <cell r="A556" t="str">
            <v>rv.026</v>
          </cell>
          <cell r="D556">
            <v>2770.21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2990.87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0.19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4124.64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39.2471</v>
          </cell>
        </row>
        <row r="573">
          <cell r="A573" t="str">
            <v>sa.001b</v>
          </cell>
          <cell r="D573">
            <v>24.705</v>
          </cell>
        </row>
        <row r="574">
          <cell r="A574" t="str">
            <v>sa.002</v>
          </cell>
          <cell r="D574">
            <v>33.7974</v>
          </cell>
        </row>
        <row r="575">
          <cell r="A575" t="str">
            <v>sa.002b</v>
          </cell>
          <cell r="D575">
            <v>20.8625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10.41</v>
          </cell>
        </row>
        <row r="578">
          <cell r="A578" t="str">
            <v>sa.005</v>
          </cell>
          <cell r="D578">
            <v>29.1519</v>
          </cell>
        </row>
        <row r="579">
          <cell r="A579" t="str">
            <v>sa.005b</v>
          </cell>
          <cell r="D579">
            <v>21.3967</v>
          </cell>
        </row>
        <row r="580">
          <cell r="A580" t="str">
            <v>sa.006</v>
          </cell>
          <cell r="D580">
            <v>35.8728</v>
          </cell>
        </row>
        <row r="581">
          <cell r="A581" t="str">
            <v>sa.006b</v>
          </cell>
          <cell r="D581">
            <v>21.6833</v>
          </cell>
        </row>
        <row r="582">
          <cell r="A582" t="str">
            <v>sa.007</v>
          </cell>
          <cell r="D582">
            <v>7.3096</v>
          </cell>
        </row>
        <row r="583">
          <cell r="A583" t="str">
            <v>sa.007b</v>
          </cell>
          <cell r="D583">
            <v>4.4867</v>
          </cell>
        </row>
        <row r="584">
          <cell r="A584" t="str">
            <v>sa.008</v>
          </cell>
          <cell r="D584">
            <v>7.4091</v>
          </cell>
        </row>
        <row r="585">
          <cell r="A585" t="str">
            <v>sa.008b</v>
          </cell>
          <cell r="D585">
            <v>4.88</v>
          </cell>
        </row>
        <row r="586">
          <cell r="A586" t="str">
            <v>sa.009</v>
          </cell>
          <cell r="D586">
            <v>3.9296</v>
          </cell>
        </row>
        <row r="587">
          <cell r="A587" t="str">
            <v>sa.009b</v>
          </cell>
          <cell r="D587">
            <v>2.44</v>
          </cell>
        </row>
        <row r="588">
          <cell r="A588" t="str">
            <v>sa.010</v>
          </cell>
          <cell r="D588">
            <v>5.4763</v>
          </cell>
        </row>
        <row r="589">
          <cell r="A589" t="str">
            <v>sa.010b</v>
          </cell>
          <cell r="D589">
            <v>3.4767</v>
          </cell>
        </row>
        <row r="590">
          <cell r="A590" t="str">
            <v>sa.011</v>
          </cell>
          <cell r="D590">
            <v>8.5967</v>
          </cell>
        </row>
        <row r="591">
          <cell r="A591" t="str">
            <v>sa.012</v>
          </cell>
          <cell r="D591">
            <v>8.115</v>
          </cell>
        </row>
        <row r="592">
          <cell r="A592" t="str">
            <v>sa.014</v>
          </cell>
          <cell r="D592">
            <v>24.26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229.75</v>
          </cell>
        </row>
        <row r="596">
          <cell r="A596" t="str">
            <v>sa.018</v>
          </cell>
          <cell r="D596">
            <v>236.775</v>
          </cell>
        </row>
        <row r="597">
          <cell r="A597" t="str">
            <v>sa.019</v>
          </cell>
          <cell r="D597">
            <v>164.235</v>
          </cell>
        </row>
        <row r="598">
          <cell r="A598" t="str">
            <v>sa.020</v>
          </cell>
          <cell r="D598">
            <v>241.32</v>
          </cell>
        </row>
        <row r="599">
          <cell r="A599" t="str">
            <v>sa.021</v>
          </cell>
          <cell r="D599">
            <v>345.21</v>
          </cell>
        </row>
        <row r="600">
          <cell r="A600" t="str">
            <v>sa.025</v>
          </cell>
          <cell r="D600">
            <v>32.48</v>
          </cell>
        </row>
        <row r="601">
          <cell r="A601" t="str">
            <v>sa.026</v>
          </cell>
          <cell r="D601">
            <v>24.79</v>
          </cell>
        </row>
        <row r="602">
          <cell r="A602" t="str">
            <v>sa.027</v>
          </cell>
          <cell r="D602">
            <v>39.67</v>
          </cell>
        </row>
        <row r="603">
          <cell r="A603" t="str">
            <v>sa.028</v>
          </cell>
          <cell r="D603">
            <v>51.24</v>
          </cell>
        </row>
        <row r="604">
          <cell r="A604" t="str">
            <v>sa.029</v>
          </cell>
          <cell r="D604">
            <v>28.535</v>
          </cell>
        </row>
        <row r="605">
          <cell r="A605" t="str">
            <v>sa.030</v>
          </cell>
          <cell r="D605">
            <v>10.295</v>
          </cell>
        </row>
        <row r="606">
          <cell r="A606" t="str">
            <v>sa.031</v>
          </cell>
          <cell r="D606">
            <v>4.0767</v>
          </cell>
        </row>
        <row r="607">
          <cell r="A607" t="str">
            <v>sa.059</v>
          </cell>
          <cell r="D607">
            <v>48.9267</v>
          </cell>
        </row>
        <row r="608">
          <cell r="A608" t="str">
            <v>sa.060</v>
          </cell>
          <cell r="D608">
            <v>3.11</v>
          </cell>
        </row>
        <row r="609">
          <cell r="A609" t="str">
            <v>sa.061</v>
          </cell>
          <cell r="D609">
            <v>5.26</v>
          </cell>
        </row>
        <row r="610">
          <cell r="A610" t="str">
            <v>sa.070</v>
          </cell>
          <cell r="D610">
            <v>8.45</v>
          </cell>
        </row>
        <row r="611">
          <cell r="A611" t="str">
            <v>sa.071</v>
          </cell>
          <cell r="D611">
            <v>12.2433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21.4647</v>
          </cell>
        </row>
        <row r="615">
          <cell r="A615" t="str">
            <v>sa.087b</v>
          </cell>
          <cell r="D615">
            <v>12.69</v>
          </cell>
        </row>
        <row r="616">
          <cell r="A616" t="str">
            <v>sa.088</v>
          </cell>
          <cell r="D616">
            <v>25.9174</v>
          </cell>
        </row>
        <row r="617">
          <cell r="A617" t="str">
            <v>sa.088b</v>
          </cell>
          <cell r="D617">
            <v>15.93</v>
          </cell>
        </row>
        <row r="618">
          <cell r="A618" t="str">
            <v>sa.089</v>
          </cell>
          <cell r="D618">
            <v>30.1055</v>
          </cell>
        </row>
        <row r="619">
          <cell r="A619" t="str">
            <v>sa.089b</v>
          </cell>
          <cell r="D619">
            <v>18.33</v>
          </cell>
        </row>
        <row r="620">
          <cell r="A620" t="str">
            <v>sa.090</v>
          </cell>
          <cell r="D620">
            <v>35.9669</v>
          </cell>
        </row>
        <row r="621">
          <cell r="A621" t="str">
            <v>sa.090b</v>
          </cell>
          <cell r="D621">
            <v>23.335</v>
          </cell>
        </row>
        <row r="622">
          <cell r="A622" t="str">
            <v>sa.107</v>
          </cell>
          <cell r="D622">
            <v>1.52</v>
          </cell>
        </row>
        <row r="623">
          <cell r="A623" t="str">
            <v>sa.108</v>
          </cell>
          <cell r="D623">
            <v>1.835</v>
          </cell>
        </row>
        <row r="624">
          <cell r="A624" t="str">
            <v>sa.109</v>
          </cell>
          <cell r="D624">
            <v>4.025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106.115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33.81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4.785</v>
          </cell>
        </row>
        <row r="632">
          <cell r="A632" t="str">
            <v>sa.194</v>
          </cell>
          <cell r="D632">
            <v>0.735</v>
          </cell>
        </row>
        <row r="633">
          <cell r="A633" t="str">
            <v>sa.195</v>
          </cell>
          <cell r="D633">
            <v>0.81</v>
          </cell>
        </row>
        <row r="634">
          <cell r="A634" t="str">
            <v>sa.200</v>
          </cell>
          <cell r="D634">
            <v>2.44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4.805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107.4333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19.995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10.465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502.18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12.8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8.885</v>
          </cell>
        </row>
        <row r="660">
          <cell r="A660" t="str">
            <v>sa.291</v>
          </cell>
          <cell r="D660">
            <v>438.02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16.6967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3.75</v>
          </cell>
        </row>
        <row r="678">
          <cell r="A678" t="str">
            <v>sa.331</v>
          </cell>
          <cell r="D678">
            <v>4.785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19.865</v>
          </cell>
        </row>
        <row r="691">
          <cell r="A691" t="str">
            <v>sa.350</v>
          </cell>
          <cell r="D691">
            <v>16.36</v>
          </cell>
        </row>
        <row r="692">
          <cell r="A692" t="str">
            <v>sa.351</v>
          </cell>
          <cell r="D692">
            <v>16.12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169.33</v>
          </cell>
        </row>
        <row r="695">
          <cell r="A695" t="str">
            <v>sa.354</v>
          </cell>
          <cell r="D695">
            <v>54.55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3.04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41.23</v>
          </cell>
        </row>
        <row r="702">
          <cell r="A702" t="str">
            <v>sa.367</v>
          </cell>
          <cell r="D702">
            <v>4.36</v>
          </cell>
        </row>
        <row r="703">
          <cell r="A703" t="str">
            <v>sa.368</v>
          </cell>
          <cell r="D703">
            <v>11.55</v>
          </cell>
        </row>
        <row r="704">
          <cell r="A704" t="str">
            <v>sa.369</v>
          </cell>
          <cell r="D704">
            <v>2.46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41.23</v>
          </cell>
        </row>
        <row r="707">
          <cell r="A707" t="str">
            <v>sa.700</v>
          </cell>
          <cell r="D707">
            <v>877.63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47.17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39.33</v>
          </cell>
        </row>
        <row r="722">
          <cell r="A722" t="str">
            <v>te.002</v>
          </cell>
          <cell r="D722">
            <v>4.16</v>
          </cell>
        </row>
        <row r="723">
          <cell r="A723" t="str">
            <v>te.003</v>
          </cell>
          <cell r="D723">
            <v>3.86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5" totalsRowShown="0">
  <autoFilter ref="A4:F125"/>
  <tableColumns count="6">
    <tableColumn id="1" name="Nº"/>
    <tableColumn id="2" name="Código_x000A_Fórmula"/>
    <tableColumn id="3" name="Rubro"/>
    <tableColumn id="4" name="Item"/>
    <tableColumn id="5" name="Unidad"/>
    <tableColumn id="6" name="Valor Fórmul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26"/>
  <sheetViews>
    <sheetView tabSelected="1" zoomScale="90" zoomScaleNormal="90" zoomScalePageLayoutView="0" workbookViewId="0" topLeftCell="A2">
      <selection activeCell="C10" sqref="C10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389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07" t="s">
        <v>342</v>
      </c>
      <c r="B1" s="407"/>
      <c r="C1" s="407"/>
      <c r="D1" s="407"/>
      <c r="E1" s="407"/>
      <c r="F1" s="407"/>
    </row>
    <row r="2" spans="1:6" ht="18" customHeight="1" thickBot="1">
      <c r="A2" s="404" t="s">
        <v>274</v>
      </c>
      <c r="B2" s="405"/>
      <c r="C2" s="405"/>
      <c r="D2" s="405"/>
      <c r="E2" s="405"/>
      <c r="F2" s="406"/>
    </row>
    <row r="3" spans="5:6" ht="12.75">
      <c r="E3" s="390" t="s">
        <v>275</v>
      </c>
      <c r="F3" s="403" t="str">
        <f>Fecha</f>
        <v>NOV/12</v>
      </c>
    </row>
    <row r="4" spans="1:6" ht="30.75" thickBot="1">
      <c r="A4" s="374" t="s">
        <v>6</v>
      </c>
      <c r="B4" s="375" t="s">
        <v>7</v>
      </c>
      <c r="C4" s="375" t="s">
        <v>9</v>
      </c>
      <c r="D4" s="375" t="s">
        <v>1934</v>
      </c>
      <c r="E4" s="375" t="s">
        <v>10</v>
      </c>
      <c r="F4" s="377" t="s">
        <v>8</v>
      </c>
    </row>
    <row r="5" spans="1:7" ht="12.75">
      <c r="A5" s="33">
        <v>1</v>
      </c>
      <c r="B5" s="376" t="s">
        <v>1871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389">
        <f ca="1">INDIRECT("vfor_"&amp;$B5)</f>
        <v>123.7474</v>
      </c>
      <c r="G5" s="20"/>
    </row>
    <row r="6" spans="1:7" ht="12.75">
      <c r="A6" s="33">
        <v>2</v>
      </c>
      <c r="B6" s="376" t="s">
        <v>1872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389">
        <f ca="1" t="shared" si="3" ref="F6:F43">INDIRECT("vfor_"&amp;$B6)</f>
        <v>156.8518</v>
      </c>
      <c r="G6" s="20"/>
    </row>
    <row r="7" spans="1:7" ht="12.75">
      <c r="A7" s="33">
        <v>3</v>
      </c>
      <c r="B7" s="5" t="s">
        <v>1873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389">
        <f ca="1" t="shared" si="3"/>
        <v>261.6824</v>
      </c>
      <c r="G7" s="20"/>
    </row>
    <row r="8" spans="1:7" ht="12.75">
      <c r="A8" s="33">
        <v>4</v>
      </c>
      <c r="B8" s="5" t="s">
        <v>1874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389">
        <f ca="1" t="shared" si="3"/>
        <v>163.0512</v>
      </c>
      <c r="G8" s="20"/>
    </row>
    <row r="9" spans="1:7" ht="12.75">
      <c r="A9" s="33">
        <v>5</v>
      </c>
      <c r="B9" s="5" t="s">
        <v>1877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389">
        <f ca="1" t="shared" si="3"/>
        <v>89.18745999999999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389">
        <f ca="1" t="shared" si="3"/>
        <v>90.93089999999998</v>
      </c>
      <c r="G10" s="20"/>
    </row>
    <row r="11" spans="1:7" ht="12.75">
      <c r="A11" s="33">
        <v>7</v>
      </c>
      <c r="B11" s="5" t="s">
        <v>370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389">
        <f ca="1" t="shared" si="3"/>
        <v>15.34029</v>
      </c>
      <c r="G11" s="20"/>
    </row>
    <row r="12" spans="1:7" ht="12.75">
      <c r="A12" s="33">
        <v>8</v>
      </c>
      <c r="B12" s="5" t="s">
        <v>371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389">
        <f ca="1" t="shared" si="3"/>
        <v>4.5227</v>
      </c>
      <c r="G12" s="20"/>
    </row>
    <row r="13" spans="1:7" ht="12.75">
      <c r="A13" s="33">
        <v>9</v>
      </c>
      <c r="B13" s="5" t="s">
        <v>1885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389">
        <f ca="1">INDIRECT("vfor_"&amp;$B13)</f>
        <v>31.60282</v>
      </c>
      <c r="G13" s="20"/>
    </row>
    <row r="14" spans="1:7" ht="12.75">
      <c r="A14" s="33">
        <v>10</v>
      </c>
      <c r="B14" s="5" t="s">
        <v>1895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389">
        <f ca="1" t="shared" si="3"/>
        <v>1516.9612739999998</v>
      </c>
      <c r="G14" s="20"/>
    </row>
    <row r="15" spans="1:7" ht="12.75">
      <c r="A15" s="33">
        <v>11</v>
      </c>
      <c r="B15" s="5" t="s">
        <v>1896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389">
        <f ca="1" t="shared" si="3"/>
        <v>1940.5893499999997</v>
      </c>
      <c r="G15" s="20"/>
    </row>
    <row r="16" spans="1:9" ht="12.75">
      <c r="A16" s="33">
        <v>12</v>
      </c>
      <c r="B16" s="5" t="s">
        <v>1905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389">
        <f ca="1" t="shared" si="3"/>
        <v>1746.8533499999999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389">
        <f ca="1" t="shared" si="3"/>
        <v>3023.8735149999998</v>
      </c>
      <c r="G17" s="20"/>
    </row>
    <row r="18" spans="1:7" ht="12.75">
      <c r="A18" s="33">
        <v>14</v>
      </c>
      <c r="B18" s="5" t="s">
        <v>1897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389">
        <f ca="1" t="shared" si="3"/>
        <v>2883.5182149999996</v>
      </c>
      <c r="G18" s="20"/>
    </row>
    <row r="19" spans="1:7" ht="12.75">
      <c r="A19" s="33">
        <v>15</v>
      </c>
      <c r="B19" s="5" t="s">
        <v>1898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389">
        <f ca="1">INDIRECT("vfor_"&amp;$B19)</f>
        <v>2763.04403</v>
      </c>
      <c r="G19" s="20"/>
    </row>
    <row r="20" spans="1:7" s="133" customFormat="1" ht="12.75">
      <c r="A20" s="279">
        <v>16</v>
      </c>
      <c r="B20" s="19" t="s">
        <v>1900</v>
      </c>
      <c r="C20" s="133" t="str">
        <f ca="1" t="shared" si="0"/>
        <v>ESTRUCTURA RESISTENTE</v>
      </c>
      <c r="D20" s="133" t="str">
        <f ca="1" t="shared" si="1"/>
        <v>estr. de Hº Aº vigas y columnas. encad .</v>
      </c>
      <c r="E20" s="19" t="str">
        <f ca="1" t="shared" si="2"/>
        <v>m3</v>
      </c>
      <c r="F20" s="389">
        <f ca="1" t="shared" si="3"/>
        <v>2993.5562</v>
      </c>
      <c r="G20" s="280"/>
    </row>
    <row r="21" spans="1:7" ht="12.75">
      <c r="A21" s="33">
        <v>17</v>
      </c>
      <c r="B21" s="5" t="s">
        <v>1901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389">
        <f ca="1" t="shared" si="3"/>
        <v>2243.5345388999995</v>
      </c>
      <c r="G21" s="20"/>
    </row>
    <row r="22" spans="1:9" s="133" customFormat="1" ht="12.75">
      <c r="A22" s="279">
        <v>18</v>
      </c>
      <c r="B22" s="19" t="s">
        <v>1903</v>
      </c>
      <c r="C22" s="133" t="str">
        <f ca="1" t="shared" si="0"/>
        <v>ESTRUCTURA RESISTENTE</v>
      </c>
      <c r="D22" s="133" t="str">
        <f ca="1" t="shared" si="1"/>
        <v>estr. de Hº Aº losa cerám. aliv.c/viguetas</v>
      </c>
      <c r="E22" s="19" t="str">
        <f ca="1" t="shared" si="2"/>
        <v>m2</v>
      </c>
      <c r="F22" s="389">
        <f ca="1">INDIRECT("vfor_"&amp;$B22)</f>
        <v>346.2102</v>
      </c>
      <c r="G22" s="280"/>
      <c r="I22" s="133">
        <v>342.18</v>
      </c>
    </row>
    <row r="23" spans="1:9" s="133" customFormat="1" ht="12.75">
      <c r="A23" s="279">
        <v>19</v>
      </c>
      <c r="B23" s="19" t="s">
        <v>176</v>
      </c>
      <c r="C23" s="133" t="str">
        <f ca="1" t="shared" si="0"/>
        <v>ESTRUCTURA RESISTENTE</v>
      </c>
      <c r="D23" s="133" t="str">
        <f ca="1" t="shared" si="1"/>
        <v> Hº Aº losa maciza c/encofr. Metálic</v>
      </c>
      <c r="E23" s="19" t="str">
        <f ca="1" t="shared" si="2"/>
        <v>m3</v>
      </c>
      <c r="F23" s="389">
        <f ca="1" t="shared" si="3"/>
        <v>2161.638752</v>
      </c>
      <c r="G23" s="280"/>
      <c r="I23" s="133">
        <v>2111.07</v>
      </c>
    </row>
    <row r="24" spans="1:7" ht="12.75">
      <c r="A24" s="33">
        <v>20</v>
      </c>
      <c r="B24" s="5" t="s">
        <v>376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389">
        <f ca="1" t="shared" si="3"/>
        <v>2548.93473</v>
      </c>
      <c r="G24" s="20"/>
    </row>
    <row r="25" spans="1:7" ht="12.75">
      <c r="A25" s="33">
        <v>21</v>
      </c>
      <c r="B25" s="5" t="s">
        <v>379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389">
        <f ca="1" t="shared" si="3"/>
        <v>2864.4119499999997</v>
      </c>
      <c r="G25" s="20"/>
    </row>
    <row r="26" spans="1:7" ht="12.75">
      <c r="A26" s="33">
        <v>22</v>
      </c>
      <c r="B26" s="5" t="s">
        <v>381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389">
        <f ca="1" t="shared" si="3"/>
        <v>3286.0825149999996</v>
      </c>
      <c r="G26" s="20"/>
    </row>
    <row r="27" spans="1:7" ht="12.75">
      <c r="A27" s="33">
        <v>23</v>
      </c>
      <c r="B27" s="5" t="s">
        <v>1866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389">
        <f ca="1" t="shared" si="3"/>
        <v>150.558694</v>
      </c>
      <c r="G27" s="20"/>
    </row>
    <row r="28" spans="1:7" ht="12.75">
      <c r="A28" s="33">
        <v>24</v>
      </c>
      <c r="B28" s="5" t="s">
        <v>1890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389">
        <f ca="1" t="shared" si="3"/>
        <v>1066.223388</v>
      </c>
      <c r="G28" s="20"/>
    </row>
    <row r="29" spans="1:7" ht="12.75">
      <c r="A29" s="33">
        <v>25</v>
      </c>
      <c r="B29" s="5" t="s">
        <v>1891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389">
        <f ca="1" t="shared" si="3"/>
        <v>1158.641788</v>
      </c>
      <c r="G29" s="20"/>
    </row>
    <row r="30" spans="1:7" ht="12.75">
      <c r="A30" s="33">
        <v>26</v>
      </c>
      <c r="B30" s="5" t="s">
        <v>1855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389">
        <f ca="1" t="shared" si="3"/>
        <v>86.99241</v>
      </c>
      <c r="G30" s="20"/>
    </row>
    <row r="31" spans="1:7" ht="12.75">
      <c r="A31" s="33">
        <v>27</v>
      </c>
      <c r="B31" s="5" t="s">
        <v>1864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389">
        <f ca="1" t="shared" si="3"/>
        <v>107.82143</v>
      </c>
      <c r="G31" s="20"/>
    </row>
    <row r="32" spans="1:7" ht="12.75">
      <c r="A32" s="33">
        <v>28</v>
      </c>
      <c r="B32" s="5" t="s">
        <v>1865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389">
        <f ca="1" t="shared" si="3"/>
        <v>131.39564000000001</v>
      </c>
      <c r="G32" s="20"/>
    </row>
    <row r="33" spans="1:7" ht="12.75">
      <c r="A33" s="33">
        <v>29</v>
      </c>
      <c r="B33" s="5" t="s">
        <v>1909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389">
        <f ca="1" t="shared" si="3"/>
        <v>128.96564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389">
        <f ca="1" t="shared" si="3"/>
        <v>164.52250599999996</v>
      </c>
      <c r="G34" s="20"/>
    </row>
    <row r="35" spans="1:7" ht="12.75">
      <c r="A35" s="33">
        <v>31</v>
      </c>
      <c r="B35" s="5" t="s">
        <v>377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389">
        <f ca="1" t="shared" si="3"/>
        <v>1268.847048</v>
      </c>
      <c r="G35" s="20"/>
    </row>
    <row r="36" spans="1:7" ht="12.75">
      <c r="A36" s="33">
        <v>32</v>
      </c>
      <c r="B36" s="5" t="s">
        <v>391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389">
        <f ca="1" t="shared" si="3"/>
        <v>1277.879188</v>
      </c>
      <c r="G36" s="20"/>
    </row>
    <row r="37" spans="1:7" ht="12.75">
      <c r="A37" s="33">
        <v>33</v>
      </c>
      <c r="B37" s="5" t="s">
        <v>1867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389">
        <f ca="1" t="shared" si="3"/>
        <v>41.316952199999996</v>
      </c>
      <c r="G37" s="20"/>
    </row>
    <row r="38" spans="1:7" ht="12.75">
      <c r="A38" s="33">
        <v>34</v>
      </c>
      <c r="B38" s="5" t="s">
        <v>1868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389">
        <f ca="1" t="shared" si="3"/>
        <v>103.55573099999998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389">
        <f ca="1" t="shared" si="3"/>
        <v>57.610693999999995</v>
      </c>
      <c r="G39" s="20"/>
    </row>
    <row r="40" spans="1:7" ht="12.75">
      <c r="A40" s="33">
        <v>36</v>
      </c>
      <c r="B40" s="5" t="s">
        <v>1869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389">
        <f ca="1" t="shared" si="3"/>
        <v>53.627983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389">
        <f ca="1" t="shared" si="3"/>
        <v>91.64536000000001</v>
      </c>
      <c r="G41" s="20"/>
    </row>
    <row r="42" spans="1:7" ht="12.75">
      <c r="A42" s="33">
        <v>38</v>
      </c>
      <c r="B42" s="5" t="s">
        <v>1728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389">
        <f ca="1" t="shared" si="3"/>
        <v>55.64927999999999</v>
      </c>
      <c r="G42" s="20"/>
    </row>
    <row r="43" spans="1:7" ht="12.75">
      <c r="A43" s="33">
        <v>39</v>
      </c>
      <c r="B43" s="5" t="s">
        <v>1730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389">
        <f ca="1" t="shared" si="3"/>
        <v>26.346359999999997</v>
      </c>
      <c r="G43" s="20"/>
    </row>
    <row r="44" spans="1:7" ht="12.75">
      <c r="A44" s="33">
        <v>40</v>
      </c>
      <c r="B44" s="5" t="s">
        <v>1731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389">
        <f ca="1" t="shared" si="7" ref="F44:F80">INDIRECT("vfor_"&amp;$B44)</f>
        <v>189.13963199999998</v>
      </c>
      <c r="G44" s="20"/>
    </row>
    <row r="45" spans="1:7" ht="12.75">
      <c r="A45" s="33">
        <v>41</v>
      </c>
      <c r="B45" s="5" t="s">
        <v>1732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389">
        <f ca="1" t="shared" si="7"/>
        <v>134.6653304</v>
      </c>
      <c r="G45" s="20"/>
    </row>
    <row r="46" spans="1:7" ht="12.75">
      <c r="A46" s="33">
        <v>42</v>
      </c>
      <c r="B46" s="5" t="s">
        <v>1733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389">
        <f ca="1" t="shared" si="7"/>
        <v>93.1957952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389">
        <f ca="1" t="shared" si="7"/>
        <v>128.89038</v>
      </c>
      <c r="G47" s="20"/>
    </row>
    <row r="48" spans="1:7" ht="12.75">
      <c r="A48" s="33">
        <v>44</v>
      </c>
      <c r="B48" s="5" t="s">
        <v>1734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389">
        <f ca="1" t="shared" si="7"/>
        <v>66.279377</v>
      </c>
      <c r="G48" s="20"/>
    </row>
    <row r="49" spans="1:7" ht="12.75">
      <c r="A49" s="33">
        <v>45</v>
      </c>
      <c r="B49" s="5" t="s">
        <v>1923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389">
        <f ca="1" t="shared" si="7"/>
        <v>83.69829999999999</v>
      </c>
      <c r="G49" s="20"/>
    </row>
    <row r="50" spans="1:7" ht="12.75">
      <c r="A50" s="33">
        <v>46</v>
      </c>
      <c r="B50" s="5" t="s">
        <v>1925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389">
        <f ca="1" t="shared" si="7"/>
        <v>136.95358000000002</v>
      </c>
      <c r="G50" s="20"/>
    </row>
    <row r="51" spans="1:7" ht="12.75">
      <c r="A51" s="33">
        <v>47</v>
      </c>
      <c r="B51" s="5" t="s">
        <v>1735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389">
        <f ca="1" t="shared" si="7"/>
        <v>382.20534</v>
      </c>
      <c r="G51" s="20"/>
    </row>
    <row r="52" spans="1:7" ht="12.75">
      <c r="A52" s="33">
        <v>48</v>
      </c>
      <c r="B52" s="5" t="s">
        <v>196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389">
        <f ca="1" t="shared" si="7"/>
        <v>173.89770000000001</v>
      </c>
      <c r="G52" s="20"/>
    </row>
    <row r="53" spans="1:7" ht="12.75">
      <c r="A53" s="33">
        <v>49</v>
      </c>
      <c r="B53" s="5" t="s">
        <v>1737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389">
        <f ca="1" t="shared" si="7"/>
        <v>250.10660000000001</v>
      </c>
      <c r="G53" s="20"/>
    </row>
    <row r="54" spans="1:7" ht="12.75">
      <c r="A54" s="33">
        <v>50</v>
      </c>
      <c r="B54" s="5" t="s">
        <v>1738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389">
        <f ca="1" t="shared" si="7"/>
        <v>218.1532</v>
      </c>
      <c r="G54" s="20"/>
    </row>
    <row r="55" spans="1:7" ht="12.75">
      <c r="A55" s="33">
        <v>51</v>
      </c>
      <c r="B55" s="5" t="s">
        <v>1739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389">
        <f ca="1" t="shared" si="7"/>
        <v>211.8097</v>
      </c>
      <c r="G55" s="20"/>
    </row>
    <row r="56" spans="1:8" ht="12.75">
      <c r="A56" s="33">
        <v>52</v>
      </c>
      <c r="B56" s="5" t="s">
        <v>1740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389">
        <f ca="1" t="shared" si="7"/>
        <v>1420.7124999999999</v>
      </c>
      <c r="G56" s="20"/>
      <c r="H56" s="20"/>
    </row>
    <row r="57" spans="1:7" ht="12.75">
      <c r="A57" s="33">
        <v>53</v>
      </c>
      <c r="B57" s="5" t="s">
        <v>1741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389">
        <f ca="1" t="shared" si="7"/>
        <v>356.87475</v>
      </c>
      <c r="G57" s="20"/>
    </row>
    <row r="58" spans="1:7" ht="12.75">
      <c r="A58" s="33">
        <v>54</v>
      </c>
      <c r="B58" s="5" t="s">
        <v>385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389">
        <f ca="1" t="shared" si="7"/>
        <v>227.8407</v>
      </c>
      <c r="G58" s="20"/>
    </row>
    <row r="59" spans="1:7" ht="12.75">
      <c r="A59" s="33">
        <v>55</v>
      </c>
      <c r="B59" s="5" t="s">
        <v>1742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389">
        <f ca="1" t="shared" si="7"/>
        <v>174.127837</v>
      </c>
      <c r="G59" s="20"/>
    </row>
    <row r="60" spans="1:7" ht="12.75">
      <c r="A60" s="33">
        <v>56</v>
      </c>
      <c r="B60" s="5" t="s">
        <v>1744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389">
        <f ca="1" t="shared" si="7"/>
        <v>204.963237</v>
      </c>
      <c r="G60" s="20"/>
    </row>
    <row r="61" spans="1:7" ht="12.75">
      <c r="A61" s="33">
        <v>57</v>
      </c>
      <c r="B61" s="5" t="s">
        <v>1745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389">
        <f ca="1" t="shared" si="7"/>
        <v>167.43025999999998</v>
      </c>
      <c r="G61" s="20"/>
    </row>
    <row r="62" spans="1:7" ht="12.75">
      <c r="A62" s="33">
        <v>58</v>
      </c>
      <c r="B62" s="5" t="s">
        <v>1746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389">
        <f ca="1" t="shared" si="7"/>
        <v>161.11664</v>
      </c>
      <c r="G62" s="20"/>
    </row>
    <row r="63" spans="1:7" s="133" customFormat="1" ht="12.75">
      <c r="A63" s="279">
        <v>59</v>
      </c>
      <c r="B63" s="19" t="s">
        <v>1747</v>
      </c>
      <c r="C63" s="133" t="str">
        <f ca="1" t="shared" si="4"/>
        <v>CIELORRASOS</v>
      </c>
      <c r="D63" s="133" t="str">
        <f ca="1" t="shared" si="5"/>
        <v>aplicado grueso y fino a la cal</v>
      </c>
      <c r="E63" s="19" t="str">
        <f ca="1" t="shared" si="6"/>
        <v>m2</v>
      </c>
      <c r="F63" s="389">
        <f ca="1" t="shared" si="7"/>
        <v>84.95842999999999</v>
      </c>
      <c r="G63" s="280"/>
    </row>
    <row r="64" spans="1:7" ht="12.75">
      <c r="A64" s="33">
        <v>60</v>
      </c>
      <c r="B64" s="5" t="s">
        <v>197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389">
        <f ca="1" t="shared" si="7"/>
        <v>115.318004</v>
      </c>
      <c r="G64" s="20"/>
    </row>
    <row r="65" spans="1:7" ht="12.75">
      <c r="A65" s="33">
        <v>61</v>
      </c>
      <c r="B65" s="5" t="s">
        <v>394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389">
        <f ca="1" t="shared" si="7"/>
        <v>138.11564</v>
      </c>
      <c r="G65" s="20"/>
    </row>
    <row r="66" spans="1:7" ht="12.75">
      <c r="A66" s="33">
        <v>62</v>
      </c>
      <c r="B66" s="5" t="s">
        <v>1748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389">
        <f ca="1" t="shared" si="7"/>
        <v>22.50782</v>
      </c>
      <c r="G66" s="20"/>
    </row>
    <row r="67" spans="1:7" ht="12.75">
      <c r="A67" s="33">
        <v>63</v>
      </c>
      <c r="B67" s="5" t="s">
        <v>1750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389">
        <f ca="1" t="shared" si="7"/>
        <v>100.92604999999999</v>
      </c>
      <c r="G67" s="20"/>
    </row>
    <row r="68" spans="1:8" ht="12.75">
      <c r="A68" s="33">
        <v>64</v>
      </c>
      <c r="B68" s="5" t="s">
        <v>1751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389">
        <f ca="1" t="shared" si="7"/>
        <v>9098.6907</v>
      </c>
      <c r="G68" s="20"/>
      <c r="H68" s="20"/>
    </row>
    <row r="69" spans="1:8" ht="12.75">
      <c r="A69" s="33">
        <v>65</v>
      </c>
      <c r="B69" s="5" t="s">
        <v>1856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389">
        <f ca="1" t="shared" si="7"/>
        <v>4789.214</v>
      </c>
      <c r="G69" s="20"/>
      <c r="H69" s="20"/>
    </row>
    <row r="70" spans="1:7" ht="12.75">
      <c r="A70" s="33">
        <v>66</v>
      </c>
      <c r="B70" s="5" t="s">
        <v>1858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389">
        <f ca="1" t="shared" si="7"/>
        <v>4234.7562</v>
      </c>
      <c r="G70" s="20"/>
    </row>
    <row r="71" spans="1:7" ht="12.75">
      <c r="A71" s="33">
        <v>67</v>
      </c>
      <c r="B71" s="5" t="s">
        <v>338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389">
        <f ca="1" t="shared" si="7"/>
        <v>10517.286200000002</v>
      </c>
      <c r="G71" s="20"/>
    </row>
    <row r="72" spans="1:7" ht="12.75">
      <c r="A72" s="33">
        <v>68</v>
      </c>
      <c r="B72" s="5" t="s">
        <v>353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389">
        <f ca="1" t="shared" si="7"/>
        <v>75886.43909999999</v>
      </c>
      <c r="G72" s="20"/>
    </row>
    <row r="73" spans="1:7" ht="12.75">
      <c r="A73" s="33">
        <v>69</v>
      </c>
      <c r="B73" s="5" t="s">
        <v>356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389">
        <f ca="1" t="shared" si="7"/>
        <v>33180.818199999994</v>
      </c>
      <c r="G73" s="20"/>
    </row>
    <row r="74" spans="1:7" ht="12.75">
      <c r="A74" s="33">
        <v>70</v>
      </c>
      <c r="B74" s="5" t="s">
        <v>1880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389">
        <f ca="1" t="shared" si="7"/>
        <v>1197.5683000000001</v>
      </c>
      <c r="G74" s="20"/>
    </row>
    <row r="75" spans="1:7" ht="12.75">
      <c r="A75" s="33">
        <v>71</v>
      </c>
      <c r="B75" s="5" t="s">
        <v>1917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389">
        <f ca="1" t="shared" si="7"/>
        <v>3026.32245</v>
      </c>
      <c r="G75" s="20"/>
    </row>
    <row r="76" spans="1:7" ht="12.75">
      <c r="A76" s="33">
        <v>72</v>
      </c>
      <c r="B76" s="5" t="s">
        <v>1919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389">
        <f ca="1" t="shared" si="7"/>
        <v>4223.89075</v>
      </c>
      <c r="G76" s="20"/>
    </row>
    <row r="77" spans="1:7" ht="12.75">
      <c r="A77" s="33">
        <v>73</v>
      </c>
      <c r="B77" s="5" t="s">
        <v>1754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389">
        <f ca="1" t="shared" si="7"/>
        <v>13367.308687099998</v>
      </c>
      <c r="G77" s="20"/>
    </row>
    <row r="78" spans="1:7" ht="12.75">
      <c r="A78" s="33">
        <v>74</v>
      </c>
      <c r="B78" s="5" t="s">
        <v>1882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389">
        <f ca="1" t="shared" si="7"/>
        <v>4368.004199999999</v>
      </c>
      <c r="G78" s="20"/>
    </row>
    <row r="79" spans="1:7" ht="12.75">
      <c r="A79" s="33">
        <v>75</v>
      </c>
      <c r="B79" s="5" t="s">
        <v>359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389">
        <f ca="1" t="shared" si="7"/>
        <v>29173.20688</v>
      </c>
      <c r="G79" s="20"/>
    </row>
    <row r="80" spans="1:7" ht="12.75">
      <c r="A80" s="33">
        <v>76</v>
      </c>
      <c r="B80" s="5" t="s">
        <v>1926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389">
        <f ca="1" t="shared" si="7"/>
        <v>4070.1727449</v>
      </c>
      <c r="G80" s="20"/>
    </row>
    <row r="81" spans="1:7" ht="12.75">
      <c r="A81" s="33">
        <v>77</v>
      </c>
      <c r="B81" s="5" t="s">
        <v>1920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389">
        <f ca="1" t="shared" si="11" ref="F81:F117">INDIRECT("vfor_"&amp;$B81)</f>
        <v>5245.7297443</v>
      </c>
      <c r="G81" s="20"/>
    </row>
    <row r="82" spans="1:7" ht="12.75">
      <c r="A82" s="33">
        <v>78</v>
      </c>
      <c r="B82" s="5" t="s">
        <v>181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389">
        <f ca="1" t="shared" si="11"/>
        <v>1175.5569994</v>
      </c>
      <c r="G82" s="20"/>
    </row>
    <row r="83" spans="1:7" ht="12.75">
      <c r="A83" s="33">
        <v>79</v>
      </c>
      <c r="B83" s="5" t="s">
        <v>329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389">
        <f ca="1" t="shared" si="11"/>
        <v>7559.657115000001</v>
      </c>
      <c r="G83" s="20"/>
    </row>
    <row r="84" spans="1:7" ht="12.75">
      <c r="A84" s="33">
        <v>80</v>
      </c>
      <c r="B84" s="5" t="s">
        <v>360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389">
        <f ca="1" t="shared" si="11"/>
        <v>13209.585542499999</v>
      </c>
      <c r="G84" s="20"/>
    </row>
    <row r="85" spans="1:7" ht="12.75">
      <c r="A85" s="33">
        <v>81</v>
      </c>
      <c r="B85" s="5" t="s">
        <v>1758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389">
        <f ca="1" t="shared" si="11"/>
        <v>3593.809148</v>
      </c>
      <c r="G85" s="20"/>
    </row>
    <row r="86" spans="1:7" ht="12.75">
      <c r="A86" s="33">
        <v>82</v>
      </c>
      <c r="B86" s="5" t="s">
        <v>1883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389">
        <f ca="1" t="shared" si="11"/>
        <v>4214.901919999999</v>
      </c>
      <c r="G86" s="20"/>
    </row>
    <row r="87" spans="1:7" ht="12.75">
      <c r="A87" s="33">
        <v>83</v>
      </c>
      <c r="B87" s="5" t="s">
        <v>340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389">
        <f ca="1" t="shared" si="11"/>
        <v>7737.8827200000005</v>
      </c>
      <c r="G87" s="20"/>
    </row>
    <row r="88" spans="1:7" ht="12.75">
      <c r="A88" s="33">
        <v>84</v>
      </c>
      <c r="B88" s="5" t="s">
        <v>1759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389">
        <f ca="1" t="shared" si="11"/>
        <v>58565.266253</v>
      </c>
      <c r="G88" s="20"/>
    </row>
    <row r="89" spans="1:7" ht="12.75">
      <c r="A89" s="33">
        <v>85</v>
      </c>
      <c r="B89" s="5" t="s">
        <v>1760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389">
        <f ca="1" t="shared" si="11"/>
        <v>3510.582</v>
      </c>
      <c r="G89" s="20"/>
    </row>
    <row r="90" spans="1:7" s="133" customFormat="1" ht="12.75">
      <c r="A90" s="279">
        <v>86</v>
      </c>
      <c r="B90" s="19" t="s">
        <v>1762</v>
      </c>
      <c r="C90" s="133" t="str">
        <f ca="1" t="shared" si="8"/>
        <v>INSTALACION ELECTRICA</v>
      </c>
      <c r="D90" s="133" t="str">
        <f ca="1" t="shared" si="9"/>
        <v>Viv. unifamiliar 3 dorm.</v>
      </c>
      <c r="E90" s="19" t="str">
        <f ca="1" t="shared" si="10"/>
        <v>gl</v>
      </c>
      <c r="F90" s="389">
        <f ca="1" t="shared" si="11"/>
        <v>4474.112679000001</v>
      </c>
      <c r="G90" s="280"/>
    </row>
    <row r="91" spans="1:7" ht="12.75">
      <c r="A91" s="33">
        <v>87</v>
      </c>
      <c r="B91" s="5" t="s">
        <v>1764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389">
        <f ca="1" t="shared" si="11"/>
        <v>65973.9735005</v>
      </c>
      <c r="G91" s="20"/>
    </row>
    <row r="92" spans="1:7" ht="12.75">
      <c r="A92" s="33">
        <v>88</v>
      </c>
      <c r="B92" s="5" t="s">
        <v>1915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389">
        <f ca="1" t="shared" si="11"/>
        <v>4609.472500999999</v>
      </c>
      <c r="G92" s="20"/>
    </row>
    <row r="93" spans="1:7" ht="12.75">
      <c r="A93" s="33">
        <v>89</v>
      </c>
      <c r="B93" s="5" t="s">
        <v>1765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389">
        <f ca="1" t="shared" si="11"/>
        <v>32.365515</v>
      </c>
      <c r="G93" s="20"/>
    </row>
    <row r="94" spans="1:7" ht="12.75">
      <c r="A94" s="33">
        <v>90</v>
      </c>
      <c r="B94" s="5" t="s">
        <v>1767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389">
        <f ca="1" t="shared" si="11"/>
        <v>10.669585</v>
      </c>
      <c r="G94" s="20"/>
    </row>
    <row r="95" spans="1:7" ht="12.75">
      <c r="A95" s="33">
        <v>91</v>
      </c>
      <c r="B95" s="5" t="s">
        <v>1768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389">
        <f ca="1" t="shared" si="11"/>
        <v>11.220085</v>
      </c>
      <c r="G95" s="20"/>
    </row>
    <row r="96" spans="1:7" ht="12.75">
      <c r="A96" s="33">
        <v>92</v>
      </c>
      <c r="B96" s="5" t="s">
        <v>1821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389">
        <f ca="1" t="shared" si="11"/>
        <v>43.0850095</v>
      </c>
      <c r="G96" s="20"/>
    </row>
    <row r="97" spans="1:7" ht="12.75">
      <c r="A97" s="33">
        <v>93</v>
      </c>
      <c r="B97" s="5" t="s">
        <v>186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389">
        <f ca="1" t="shared" si="11"/>
        <v>26.822497</v>
      </c>
      <c r="G97" s="20"/>
    </row>
    <row r="98" spans="1:7" ht="12.75">
      <c r="A98" s="33">
        <v>94</v>
      </c>
      <c r="B98" s="5" t="s">
        <v>187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389">
        <f ca="1" t="shared" si="11"/>
        <v>35.6096516</v>
      </c>
      <c r="G98" s="20"/>
    </row>
    <row r="99" spans="1:7" ht="12.75">
      <c r="A99" s="33">
        <v>95</v>
      </c>
      <c r="B99" s="5" t="s">
        <v>188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389">
        <f ca="1" t="shared" si="11"/>
        <v>39.7754748</v>
      </c>
      <c r="G99" s="20"/>
    </row>
    <row r="100" spans="1:7" ht="12.75">
      <c r="A100" s="33">
        <v>96</v>
      </c>
      <c r="B100" s="5" t="s">
        <v>1769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389">
        <f ca="1" t="shared" si="11"/>
        <v>112.927535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389">
        <f ca="1" t="shared" si="11"/>
        <v>19.698523939999998</v>
      </c>
      <c r="G101" s="20"/>
    </row>
    <row r="102" spans="1:7" ht="12.75">
      <c r="A102" s="33">
        <v>98</v>
      </c>
      <c r="B102" s="5" t="s">
        <v>1933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389">
        <f ca="1" t="shared" si="11"/>
        <v>164.79234399999999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389">
        <f ca="1" t="shared" si="11"/>
        <v>230.8145902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389">
        <f ca="1" t="shared" si="11"/>
        <v>1033.6237999999998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389">
        <f ca="1" t="shared" si="11"/>
        <v>62.74335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389">
        <f ca="1" t="shared" si="11"/>
        <v>1023.8178</v>
      </c>
      <c r="G106" s="20"/>
    </row>
    <row r="107" spans="1:7" ht="12.75">
      <c r="A107" s="33">
        <v>103</v>
      </c>
      <c r="B107" s="5" t="s">
        <v>192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389">
        <f ca="1" t="shared" si="11"/>
        <v>5.62194</v>
      </c>
      <c r="G107" s="20"/>
    </row>
    <row r="108" spans="1:7" ht="12.75">
      <c r="A108" s="33">
        <v>104</v>
      </c>
      <c r="B108" s="5" t="s">
        <v>327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389">
        <f ca="1" t="shared" si="11"/>
        <v>3976.5519999999997</v>
      </c>
      <c r="G108" s="20"/>
    </row>
    <row r="109" spans="1:7" ht="12.75">
      <c r="A109" s="33">
        <v>105</v>
      </c>
      <c r="B109" s="5" t="s">
        <v>331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389">
        <f ca="1" t="shared" si="11"/>
        <v>612.9463999999999</v>
      </c>
      <c r="G109" s="20"/>
    </row>
    <row r="110" spans="1:7" ht="12.75">
      <c r="A110" s="33">
        <v>106</v>
      </c>
      <c r="B110" s="5" t="s">
        <v>362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389">
        <f ca="1" t="shared" si="11"/>
        <v>1330.8741</v>
      </c>
      <c r="G110" s="20"/>
    </row>
    <row r="111" spans="1:7" ht="12.75">
      <c r="A111" s="33">
        <v>107</v>
      </c>
      <c r="B111" s="5" t="s">
        <v>384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389">
        <f ca="1" t="shared" si="11"/>
        <v>1370.8118</v>
      </c>
      <c r="G111" s="20"/>
    </row>
    <row r="112" spans="1:7" ht="12.75">
      <c r="A112" s="33">
        <v>108</v>
      </c>
      <c r="B112" s="5" t="s">
        <v>1831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389">
        <f ca="1" t="shared" si="11"/>
        <v>143.1709151</v>
      </c>
      <c r="G112" s="20"/>
    </row>
    <row r="113" spans="1:7" ht="12.75">
      <c r="A113" s="33">
        <v>109</v>
      </c>
      <c r="B113" s="5" t="s">
        <v>1832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389">
        <f ca="1" t="shared" si="11"/>
        <v>131.3784671</v>
      </c>
      <c r="G113" s="20"/>
    </row>
    <row r="114" spans="1:7" ht="12.75">
      <c r="A114" s="33">
        <v>110</v>
      </c>
      <c r="B114" s="5" t="s">
        <v>324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389">
        <f ca="1" t="shared" si="11"/>
        <v>57742.522000000004</v>
      </c>
      <c r="G114" s="20"/>
    </row>
    <row r="115" spans="1:8" ht="12.75">
      <c r="A115" s="33">
        <v>111</v>
      </c>
      <c r="B115" s="5" t="s">
        <v>1841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389">
        <f ca="1" t="shared" si="11"/>
        <v>250.9710981</v>
      </c>
      <c r="G115" s="20"/>
      <c r="H115" s="20"/>
    </row>
    <row r="116" spans="1:8" ht="12.75">
      <c r="A116" s="33">
        <v>112</v>
      </c>
      <c r="B116" s="5" t="s">
        <v>194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389">
        <f ca="1" t="shared" si="11"/>
        <v>202.2251781</v>
      </c>
      <c r="G116" s="20"/>
      <c r="H116" s="20"/>
    </row>
    <row r="117" spans="1:7" ht="12.75">
      <c r="A117" s="33">
        <v>113</v>
      </c>
      <c r="B117" s="5" t="s">
        <v>1844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389">
        <f ca="1" t="shared" si="11"/>
        <v>107.65299</v>
      </c>
      <c r="G117" s="20"/>
    </row>
    <row r="118" spans="1:7" ht="12.75">
      <c r="A118" s="33">
        <v>114</v>
      </c>
      <c r="B118" s="5" t="s">
        <v>1847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389">
        <f ca="1" t="shared" si="15" ref="F118:F125">INDIRECT("vfor_"&amp;$B118)</f>
        <v>117058.32804499999</v>
      </c>
      <c r="G118" s="85">
        <v>14992.864</v>
      </c>
    </row>
    <row r="119" spans="1:7" ht="12.75">
      <c r="A119" s="33">
        <v>115</v>
      </c>
      <c r="B119" s="5" t="s">
        <v>1848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389">
        <f ca="1" t="shared" si="15"/>
        <v>28479.970590999998</v>
      </c>
      <c r="G119" s="20">
        <v>2120.642</v>
      </c>
    </row>
    <row r="120" spans="1:7" ht="12.75">
      <c r="A120" s="33">
        <v>116</v>
      </c>
      <c r="B120" s="5" t="s">
        <v>1850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389">
        <f ca="1" t="shared" si="15"/>
        <v>19469.125083</v>
      </c>
      <c r="G120" s="20">
        <v>1398.308</v>
      </c>
    </row>
    <row r="121" spans="1:7" ht="12.75">
      <c r="A121" s="33">
        <v>117</v>
      </c>
      <c r="B121" s="5" t="s">
        <v>295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389">
        <f ca="1" t="shared" si="15"/>
        <v>28027.037424999995</v>
      </c>
      <c r="G121" s="20">
        <v>2906.569</v>
      </c>
    </row>
    <row r="122" spans="1:7" ht="12.75">
      <c r="A122" s="33">
        <v>118</v>
      </c>
      <c r="B122" s="5" t="s">
        <v>201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389">
        <f ca="1" t="shared" si="15"/>
        <v>116.83858</v>
      </c>
      <c r="G122" s="20"/>
    </row>
    <row r="123" spans="1:7" ht="12.75">
      <c r="A123" s="33">
        <v>119</v>
      </c>
      <c r="B123" s="5" t="s">
        <v>203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389">
        <f ca="1" t="shared" si="15"/>
        <v>152.40598364595138</v>
      </c>
      <c r="G123" s="20"/>
    </row>
    <row r="124" spans="1:7" ht="12.75">
      <c r="A124" s="33">
        <v>120</v>
      </c>
      <c r="B124" s="5" t="s">
        <v>202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389">
        <f ca="1" t="shared" si="15"/>
        <v>134.291808</v>
      </c>
      <c r="G124" s="20"/>
    </row>
    <row r="125" spans="1:7" ht="12.75">
      <c r="A125" s="33">
        <v>121</v>
      </c>
      <c r="B125" s="5" t="s">
        <v>204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389">
        <f ca="1" t="shared" si="15"/>
        <v>42.3188227</v>
      </c>
      <c r="G125" s="20"/>
    </row>
    <row r="126" spans="1:6" ht="15">
      <c r="A126"/>
      <c r="B126"/>
      <c r="C126"/>
      <c r="D126"/>
      <c r="E126"/>
      <c r="F126" s="357"/>
    </row>
  </sheetData>
  <sheetProtection/>
  <mergeCells count="2">
    <mergeCell ref="A2:F2"/>
    <mergeCell ref="A1:F1"/>
  </mergeCells>
  <printOptions/>
  <pageMargins left="1.141732283464567" right="0.35433070866141736" top="0.984251968503937" bottom="0.984251968503937" header="0" footer="0"/>
  <pageSetup horizontalDpi="600" verticalDpi="600" orientation="portrait" paperSize="9" scale="7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61">
      <selection activeCell="E104" sqref="E10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1728</v>
      </c>
      <c r="C2" s="77" t="str">
        <f>Fecha</f>
        <v>NOV/12</v>
      </c>
      <c r="D2" s="48"/>
      <c r="E2" s="48"/>
      <c r="F2" s="392">
        <f>SUM(F4:F11)</f>
        <v>55.64927999999999</v>
      </c>
      <c r="G2" s="41"/>
    </row>
    <row r="3" spans="1:7" ht="13.5" thickBot="1">
      <c r="A3" s="7" t="s">
        <v>345</v>
      </c>
      <c r="B3" s="7" t="s">
        <v>1729</v>
      </c>
      <c r="C3" s="78" t="s">
        <v>344</v>
      </c>
      <c r="D3" s="49" t="s">
        <v>1777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VLOOKUP(A5,'IN-12-11'!A6:D880,4)</f>
        <v>1.13</v>
      </c>
      <c r="F5" s="69">
        <f>(D5*E5)</f>
        <v>7.909999999999999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VLOOKUP(A6,'IN-12-11'!A7:D881,4)</f>
        <v>0.92</v>
      </c>
      <c r="F6" s="69">
        <f>(D6*E6)</f>
        <v>3.772</v>
      </c>
    </row>
    <row r="7" spans="1:6" ht="12.75">
      <c r="A7" s="3" t="s">
        <v>1690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VLOOKUP(A7,'IN-12-11'!A8:D882,4)</f>
        <v>97.34</v>
      </c>
      <c r="F7" s="69">
        <f>(D7*E7)</f>
        <v>14.600999999999999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VLOOKUP(A9,'IN-12-11'!A10:D884,4)</f>
        <v>39.41</v>
      </c>
      <c r="F9" s="69">
        <f>(D9*E9)</f>
        <v>27.586999999999996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1681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VLOOKUP(A11,'IN-12-11'!A12:D886,4)</f>
        <v>444.82</v>
      </c>
      <c r="F11" s="69">
        <f>(D11*E11)</f>
        <v>1.77928</v>
      </c>
    </row>
    <row r="12" spans="4:6" ht="13.5" thickBot="1">
      <c r="D12" s="51"/>
      <c r="E12" s="51"/>
      <c r="F12" s="69"/>
    </row>
    <row r="13" spans="1:7" ht="13.5" thickTop="1">
      <c r="A13" s="75" t="s">
        <v>346</v>
      </c>
      <c r="B13" s="391" t="s">
        <v>1730</v>
      </c>
      <c r="C13" s="77" t="str">
        <f>Fecha</f>
        <v>NOV/12</v>
      </c>
      <c r="D13" s="48"/>
      <c r="E13" s="48"/>
      <c r="F13" s="392">
        <f>SUM(F15:F22)</f>
        <v>26.346359999999997</v>
      </c>
      <c r="G13" s="41"/>
    </row>
    <row r="14" spans="1:7" ht="13.5" thickBot="1">
      <c r="A14" s="7" t="s">
        <v>345</v>
      </c>
      <c r="B14" s="7" t="s">
        <v>1729</v>
      </c>
      <c r="C14" s="78" t="s">
        <v>344</v>
      </c>
      <c r="D14" s="49" t="s">
        <v>328</v>
      </c>
      <c r="E14" s="50"/>
      <c r="F14" s="68"/>
      <c r="G14" s="42" t="s">
        <v>1976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VLOOKUP(A16,'IN-12-11'!A17:D891,4)</f>
        <v>1.13</v>
      </c>
      <c r="F16" s="69">
        <f>(D16*E16)</f>
        <v>3.9549999999999996</v>
      </c>
    </row>
    <row r="17" spans="1:6" ht="12.75">
      <c r="A17" s="3" t="s">
        <v>1678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VLOOKUP(A17,'IN-12-11'!A18:D892,4)</f>
        <v>0.92</v>
      </c>
      <c r="F17" s="69">
        <f>(D17*E17)</f>
        <v>1.886</v>
      </c>
    </row>
    <row r="18" spans="1:6" ht="12.75">
      <c r="A18" s="3" t="s">
        <v>1690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VLOOKUP(A18,'IN-12-11'!A19:D893,4)</f>
        <v>97.34</v>
      </c>
      <c r="F18" s="69">
        <f>(D18*E18)</f>
        <v>3.4069000000000003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VLOOKUP(A20,'IN-12-11'!A21:D895,4)</f>
        <v>39.41</v>
      </c>
      <c r="F20" s="69">
        <f>(D20*E20)</f>
        <v>15.764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1681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VLOOKUP(A22,'IN-12-11'!A23:D897,4)</f>
        <v>444.82</v>
      </c>
      <c r="F22" s="69">
        <f>(D22*E22)</f>
        <v>1.33446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346</v>
      </c>
      <c r="B24" s="391" t="s">
        <v>1731</v>
      </c>
      <c r="C24" s="77" t="str">
        <f>Fecha</f>
        <v>NOV/12</v>
      </c>
      <c r="D24" s="48"/>
      <c r="E24" s="48"/>
      <c r="F24" s="392">
        <f>SUM(F26:F34)</f>
        <v>189.13963199999998</v>
      </c>
      <c r="G24" s="41"/>
    </row>
    <row r="25" spans="1:7" ht="13.5" thickBot="1">
      <c r="A25" s="7" t="s">
        <v>345</v>
      </c>
      <c r="B25" s="7" t="s">
        <v>1729</v>
      </c>
      <c r="C25" s="78" t="s">
        <v>344</v>
      </c>
      <c r="D25" s="49" t="s">
        <v>1921</v>
      </c>
      <c r="E25" s="50"/>
      <c r="F25" s="68"/>
      <c r="G25" s="42" t="s">
        <v>1976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1685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VLOOKUP(A27,'IN-12-11'!A28:D902,4)</f>
        <v>1.13</v>
      </c>
      <c r="F27" s="69">
        <f>(D27*E27)</f>
        <v>5.6499999999999995</v>
      </c>
    </row>
    <row r="28" spans="1:6" ht="12.75">
      <c r="A28" s="3" t="s">
        <v>1678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VLOOKUP(A28,'IN-12-11'!A29:D903,4)</f>
        <v>0.92</v>
      </c>
      <c r="F28" s="69">
        <f>(D28*E28)</f>
        <v>5.3728</v>
      </c>
    </row>
    <row r="29" spans="1:6" ht="12.75">
      <c r="A29" s="3" t="s">
        <v>1680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VLOOKUP(A29,'IN-12-11'!A30:D904,4)</f>
        <v>101</v>
      </c>
      <c r="F29" s="69">
        <f>(D29*E29)</f>
        <v>3.03</v>
      </c>
    </row>
    <row r="30" spans="1:6" ht="12.75">
      <c r="A30" s="3" t="s">
        <v>1922</v>
      </c>
      <c r="B30" s="4" t="str">
        <f>VLOOKUP(A30,'IN-12-11'!$A$5:$D$441,2)</f>
        <v>mosaico granítico 30x30</v>
      </c>
      <c r="C30" s="4" t="str">
        <f>VLOOKUP(A30,'IN-12-11'!$A$5:$D$441,3)</f>
        <v>m2</v>
      </c>
      <c r="D30" s="51">
        <v>1.26</v>
      </c>
      <c r="E30" s="51">
        <f>VLOOKUP(A30,'IN-12-11'!A31:D905,4)</f>
        <v>54.55</v>
      </c>
      <c r="F30" s="69">
        <f>(D30*E30)</f>
        <v>68.73299999999999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VLOOKUP(A32,'IN-12-11'!A33:D907,4)</f>
        <v>39.41</v>
      </c>
      <c r="F32" s="69">
        <f>(D32*E32)</f>
        <v>98.52499999999999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1681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VLOOKUP(A34,'IN-12-11'!A35:D909,4)</f>
        <v>444.82</v>
      </c>
      <c r="F34" s="69">
        <f>(D34*E34)</f>
        <v>7.828832</v>
      </c>
    </row>
    <row r="35" spans="4:6" ht="13.5" thickBot="1">
      <c r="D35" s="51"/>
      <c r="E35" s="51"/>
      <c r="F35" s="69"/>
    </row>
    <row r="36" spans="1:7" ht="13.5" thickTop="1">
      <c r="A36" s="75" t="s">
        <v>346</v>
      </c>
      <c r="B36" s="391" t="s">
        <v>1732</v>
      </c>
      <c r="C36" s="77" t="str">
        <f>Fecha</f>
        <v>NOV/12</v>
      </c>
      <c r="D36" s="48"/>
      <c r="E36" s="48"/>
      <c r="F36" s="392">
        <f>SUM(F38:F46)</f>
        <v>134.6653304</v>
      </c>
      <c r="G36" s="41"/>
    </row>
    <row r="37" spans="1:7" ht="13.5" thickBot="1">
      <c r="A37" s="7" t="s">
        <v>345</v>
      </c>
      <c r="B37" s="7" t="s">
        <v>1729</v>
      </c>
      <c r="C37" s="78" t="s">
        <v>344</v>
      </c>
      <c r="D37" s="49" t="s">
        <v>1778</v>
      </c>
      <c r="E37" s="50"/>
      <c r="F37" s="68"/>
      <c r="G37" s="42" t="s">
        <v>1976</v>
      </c>
    </row>
    <row r="38" spans="1:6" ht="13.5" thickTop="1">
      <c r="A38" s="82" t="s">
        <v>350</v>
      </c>
      <c r="D38" s="51"/>
      <c r="E38" s="51"/>
      <c r="F38" s="69"/>
    </row>
    <row r="39" spans="1:6" ht="12.75">
      <c r="A39" s="3" t="s">
        <v>1685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VLOOKUP(A39,'IN-12-11'!A40:D914,4)</f>
        <v>1.13</v>
      </c>
      <c r="F39" s="69">
        <f>(D39*E39)</f>
        <v>5.6499999999999995</v>
      </c>
    </row>
    <row r="40" spans="1:6" ht="12.75">
      <c r="A40" s="3" t="s">
        <v>1678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VLOOKUP(A40,'IN-12-11'!A41:D915,4)</f>
        <v>0.92</v>
      </c>
      <c r="F40" s="69">
        <f>(D40*E40)</f>
        <v>4.6000000000000005</v>
      </c>
    </row>
    <row r="41" spans="1:6" ht="12.75">
      <c r="A41" s="3" t="s">
        <v>1680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VLOOKUP(A41,'IN-12-11'!A42:D916,4)</f>
        <v>101</v>
      </c>
      <c r="F41" s="69">
        <f>(D41*E41)</f>
        <v>3.03</v>
      </c>
    </row>
    <row r="42" spans="1:6" ht="12.75">
      <c r="A42" s="3" t="s">
        <v>1691</v>
      </c>
      <c r="B42" s="4" t="str">
        <f>VLOOKUP(A42,'IN-12-11'!$A$5:$D$441,2)</f>
        <v>mosaico calcareo amarillo, rojo o gris</v>
      </c>
      <c r="C42" s="4" t="str">
        <f>VLOOKUP(A42,'IN-12-11'!$A$5:$D$441,3)</f>
        <v>m2</v>
      </c>
      <c r="D42" s="51">
        <v>1.27</v>
      </c>
      <c r="E42" s="51">
        <f>VLOOKUP(A42,'IN-12-11'!A43:D917,4)</f>
        <v>38.02</v>
      </c>
      <c r="F42" s="69">
        <f>(D42*E42)</f>
        <v>48.2854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VLOOKUP(A44,'IN-12-11'!A45:D919,4)</f>
        <v>39.41</v>
      </c>
      <c r="F44" s="69">
        <f>(D44*E44)</f>
        <v>66.99699999999999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1681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VLOOKUP(A46,'IN-12-11'!A47:D921,4)</f>
        <v>444.82</v>
      </c>
      <c r="F46" s="69">
        <f>(D46*E46)</f>
        <v>6.1029304</v>
      </c>
    </row>
    <row r="47" spans="4:6" ht="13.5" thickBot="1">
      <c r="D47" s="51"/>
      <c r="E47" s="51"/>
      <c r="F47" s="69"/>
    </row>
    <row r="48" spans="1:7" ht="13.5" thickTop="1">
      <c r="A48" s="75" t="s">
        <v>346</v>
      </c>
      <c r="B48" s="391" t="s">
        <v>1733</v>
      </c>
      <c r="C48" s="77" t="str">
        <f>Fecha</f>
        <v>NOV/12</v>
      </c>
      <c r="D48" s="48"/>
      <c r="E48" s="48"/>
      <c r="F48" s="392">
        <f>SUM(F50:F57)</f>
        <v>93.1957952</v>
      </c>
      <c r="G48" s="41"/>
    </row>
    <row r="49" spans="1:7" ht="13.5" thickBot="1">
      <c r="A49" s="7" t="s">
        <v>345</v>
      </c>
      <c r="B49" s="7" t="s">
        <v>1729</v>
      </c>
      <c r="C49" s="78" t="s">
        <v>344</v>
      </c>
      <c r="D49" s="49" t="s">
        <v>17</v>
      </c>
      <c r="E49" s="50"/>
      <c r="F49" s="68"/>
      <c r="G49" s="42" t="s">
        <v>1976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1692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VLOOKUP(A51,'IN-12-11'!A52:D926,4)</f>
        <v>1.525</v>
      </c>
      <c r="F51" s="69">
        <f>(D51*E51)</f>
        <v>5.3374999999999995</v>
      </c>
    </row>
    <row r="52" spans="1:6" ht="12.75">
      <c r="A52" s="3" t="s">
        <v>1807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VLOOKUP(A52,'IN-12-11'!A53:D927,4)</f>
        <v>68</v>
      </c>
      <c r="F52" s="69">
        <f>(D52*E52)</f>
        <v>0.68</v>
      </c>
    </row>
    <row r="53" spans="1:6" ht="12.75">
      <c r="A53" s="3" t="s">
        <v>1403</v>
      </c>
      <c r="B53" s="4" t="str">
        <f>VLOOKUP(A53,'IN-12-11'!$A$5:$D$441,2)</f>
        <v>cerámico esmaltado 20x20</v>
      </c>
      <c r="C53" s="4" t="str">
        <f>VLOOKUP(A53,'IN-12-11'!$A$5:$D$441,3)</f>
        <v>m2</v>
      </c>
      <c r="D53" s="51">
        <v>1.12</v>
      </c>
      <c r="E53" s="51">
        <f>VLOOKUP(A53,'IN-12-11'!A54:D928,4)</f>
        <v>39.33</v>
      </c>
      <c r="F53" s="69">
        <f>(D53*E53)</f>
        <v>44.049600000000005</v>
      </c>
    </row>
    <row r="54" spans="1:6" ht="12.75">
      <c r="A54" s="82" t="s">
        <v>351</v>
      </c>
      <c r="D54" s="51"/>
      <c r="E54" s="51"/>
      <c r="F54" s="69"/>
    </row>
    <row r="55" spans="1:6" ht="12.75">
      <c r="A55" s="3" t="s">
        <v>1675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VLOOKUP(A55,'IN-12-11'!A56:D930,4)</f>
        <v>39.41</v>
      </c>
      <c r="F55" s="69">
        <f>(D55*E55)</f>
        <v>39.41</v>
      </c>
    </row>
    <row r="56" spans="1:6" ht="12.75">
      <c r="A56" s="82" t="s">
        <v>352</v>
      </c>
      <c r="D56" s="51"/>
      <c r="E56" s="51"/>
      <c r="F56" s="69"/>
    </row>
    <row r="57" spans="1:6" ht="12.75">
      <c r="A57" s="3" t="s">
        <v>1681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VLOOKUP(A57,'IN-12-11'!A58:D932,4)</f>
        <v>444.82</v>
      </c>
      <c r="F57" s="69">
        <f>(D57*E57)</f>
        <v>3.7186951999999995</v>
      </c>
    </row>
    <row r="58" spans="4:6" ht="13.5" thickBot="1">
      <c r="D58" s="51"/>
      <c r="E58" s="51"/>
      <c r="F58" s="69"/>
    </row>
    <row r="59" spans="1:7" ht="13.5" thickTop="1">
      <c r="A59" s="75" t="s">
        <v>346</v>
      </c>
      <c r="B59" s="391" t="s">
        <v>18</v>
      </c>
      <c r="C59" s="77" t="str">
        <f>Fecha</f>
        <v>NOV/12</v>
      </c>
      <c r="D59" s="48"/>
      <c r="E59" s="48"/>
      <c r="F59" s="392">
        <f>SUM(F61:F70)</f>
        <v>128.89038</v>
      </c>
      <c r="G59" s="41"/>
    </row>
    <row r="60" spans="1:7" ht="13.5" thickBot="1">
      <c r="A60" s="7" t="s">
        <v>345</v>
      </c>
      <c r="B60" s="7" t="s">
        <v>1729</v>
      </c>
      <c r="C60" s="78" t="s">
        <v>344</v>
      </c>
      <c r="D60" s="49" t="s">
        <v>1779</v>
      </c>
      <c r="E60" s="50"/>
      <c r="F60" s="68"/>
      <c r="G60" s="42" t="s">
        <v>1976</v>
      </c>
    </row>
    <row r="61" spans="1:6" ht="13.5" thickTop="1">
      <c r="A61" s="82" t="s">
        <v>350</v>
      </c>
      <c r="D61" s="51"/>
      <c r="E61" s="51"/>
      <c r="F61" s="69"/>
    </row>
    <row r="62" spans="1:6" ht="12.75">
      <c r="A62" s="3" t="s">
        <v>1692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VLOOKUP(A62,'IN-12-11'!A63:D937,4)</f>
        <v>1.525</v>
      </c>
      <c r="F62" s="69">
        <f>(D62*E62)</f>
        <v>5.3374999999999995</v>
      </c>
    </row>
    <row r="63" spans="1:6" ht="12.75">
      <c r="A63" s="3" t="s">
        <v>1678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VLOOKUP(A63,'IN-12-11'!A64:D938,4)</f>
        <v>0.92</v>
      </c>
      <c r="F63" s="69">
        <f>(D63*E63)</f>
        <v>13.8</v>
      </c>
    </row>
    <row r="64" spans="1:6" ht="12.75">
      <c r="A64" s="3" t="s">
        <v>1807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VLOOKUP(A64,'IN-12-11'!A65:D939,4)</f>
        <v>68</v>
      </c>
      <c r="F64" s="69">
        <f>(D64*E64)</f>
        <v>0.68</v>
      </c>
    </row>
    <row r="65" spans="1:6" ht="12.75">
      <c r="A65" s="3" t="s">
        <v>1680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VLOOKUP(A65,'IN-12-11'!A42:D940,4)</f>
        <v>101</v>
      </c>
      <c r="F65" s="69">
        <f>(D65*E65)</f>
        <v>3.03</v>
      </c>
    </row>
    <row r="66" spans="1:6" ht="12.75">
      <c r="A66" s="3" t="s">
        <v>1407</v>
      </c>
      <c r="B66" s="4" t="str">
        <f>VLOOKUP(A66,'IN-12-11'!$A$5:$D$441,2)</f>
        <v>baldosa cerámica roja 6 x 24</v>
      </c>
      <c r="C66" s="4" t="str">
        <f>VLOOKUP(A66,'IN-12-11'!$A$5:$D$441,3)</f>
        <v>m2</v>
      </c>
      <c r="D66" s="51">
        <v>1.12</v>
      </c>
      <c r="E66" s="51">
        <f>VLOOKUP(A66,'IN-12-11'!A67:D941,4)</f>
        <v>29.755</v>
      </c>
      <c r="F66" s="69">
        <f>(D66*E66)</f>
        <v>33.3256</v>
      </c>
    </row>
    <row r="67" spans="1:6" ht="12.75">
      <c r="A67" s="82" t="s">
        <v>351</v>
      </c>
      <c r="D67" s="51"/>
      <c r="E67" s="51"/>
      <c r="F67" s="69"/>
    </row>
    <row r="68" spans="1:6" ht="12.75">
      <c r="A68" s="3" t="s">
        <v>1675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VLOOKUP(A68,'IN-12-11'!A69:D943,4)</f>
        <v>39.41</v>
      </c>
      <c r="F68" s="69">
        <f>(D68*E68)</f>
        <v>70.938</v>
      </c>
    </row>
    <row r="69" spans="1:6" ht="12.75">
      <c r="A69" s="82" t="s">
        <v>352</v>
      </c>
      <c r="D69" s="51"/>
      <c r="E69" s="51"/>
      <c r="F69" s="69"/>
    </row>
    <row r="70" spans="1:6" ht="12.75">
      <c r="A70" s="3" t="s">
        <v>1681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VLOOKUP(A70,'IN-12-11'!A71:D945,4)</f>
        <v>444.82</v>
      </c>
      <c r="F70" s="69">
        <f>(D70*E70)</f>
        <v>1.77928</v>
      </c>
    </row>
    <row r="71" spans="4:6" ht="13.5" thickBot="1">
      <c r="D71" s="51"/>
      <c r="E71" s="51"/>
      <c r="F71" s="69"/>
    </row>
    <row r="72" spans="1:7" ht="13.5" thickTop="1">
      <c r="A72" s="75" t="s">
        <v>346</v>
      </c>
      <c r="B72" s="391" t="s">
        <v>1734</v>
      </c>
      <c r="C72" s="77" t="str">
        <f>Fecha</f>
        <v>NOV/12</v>
      </c>
      <c r="D72" s="48"/>
      <c r="E72" s="48"/>
      <c r="F72" s="392">
        <f>SUM(F74:F80)</f>
        <v>66.279377</v>
      </c>
      <c r="G72" s="41"/>
    </row>
    <row r="73" spans="1:7" ht="13.5" thickBot="1">
      <c r="A73" s="7" t="s">
        <v>345</v>
      </c>
      <c r="B73" s="7" t="s">
        <v>1729</v>
      </c>
      <c r="C73" s="78" t="s">
        <v>344</v>
      </c>
      <c r="D73" s="49" t="s">
        <v>1780</v>
      </c>
      <c r="E73" s="50"/>
      <c r="F73" s="68"/>
      <c r="G73" s="42" t="s">
        <v>1976</v>
      </c>
    </row>
    <row r="74" spans="1:6" ht="13.5" thickTop="1">
      <c r="A74" s="82" t="s">
        <v>350</v>
      </c>
      <c r="D74" s="51"/>
      <c r="E74" s="51"/>
      <c r="F74" s="69"/>
    </row>
    <row r="75" spans="1:6" ht="12.75">
      <c r="A75" s="3" t="s">
        <v>1678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VLOOKUP(A75,'IN-12-11'!A76:D950,4)</f>
        <v>0.92</v>
      </c>
      <c r="F75" s="69">
        <f>(D75*E75)</f>
        <v>13.8</v>
      </c>
    </row>
    <row r="76" spans="1:6" ht="12.75">
      <c r="A76" s="3" t="s">
        <v>1680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VLOOKUP(A76,'IN-12-11'!A42:D951,4)</f>
        <v>101</v>
      </c>
      <c r="F76" s="69">
        <f>(D76*E76)</f>
        <v>3.03</v>
      </c>
    </row>
    <row r="77" spans="1:6" ht="12.75">
      <c r="A77" s="82" t="s">
        <v>351</v>
      </c>
      <c r="D77" s="51"/>
      <c r="E77" s="51"/>
      <c r="F77" s="69"/>
    </row>
    <row r="78" spans="1:6" ht="12.75">
      <c r="A78" s="3" t="s">
        <v>1675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VLOOKUP(A78,'IN-12-11'!A79:D953,4)</f>
        <v>39.41</v>
      </c>
      <c r="F78" s="69">
        <f>(D78*E78)</f>
        <v>47.291999999999994</v>
      </c>
    </row>
    <row r="79" spans="1:6" ht="12.75">
      <c r="A79" s="82" t="s">
        <v>352</v>
      </c>
      <c r="D79" s="51"/>
      <c r="E79" s="51"/>
      <c r="F79" s="69"/>
    </row>
    <row r="80" spans="1:6" ht="12.75">
      <c r="A80" s="3" t="s">
        <v>1681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VLOOKUP(A80,'IN-12-11'!A81:D955,4)</f>
        <v>444.82</v>
      </c>
      <c r="F80" s="69">
        <f>(D80*E80)</f>
        <v>2.157377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346</v>
      </c>
      <c r="B82" s="391" t="s">
        <v>1923</v>
      </c>
      <c r="C82" s="77" t="str">
        <f>Fecha</f>
        <v>NOV/12</v>
      </c>
      <c r="D82" s="48"/>
      <c r="E82" s="48"/>
      <c r="F82" s="392">
        <f>SUM(F85:F91)</f>
        <v>83.69829999999999</v>
      </c>
      <c r="G82" s="41"/>
    </row>
    <row r="83" spans="1:7" ht="13.5" thickBot="1">
      <c r="A83" s="7" t="s">
        <v>345</v>
      </c>
      <c r="B83" s="7" t="s">
        <v>1729</v>
      </c>
      <c r="C83" s="78" t="s">
        <v>344</v>
      </c>
      <c r="D83" s="49" t="s">
        <v>1924</v>
      </c>
      <c r="E83" s="50"/>
      <c r="F83" s="68"/>
      <c r="G83" s="42" t="s">
        <v>1976</v>
      </c>
    </row>
    <row r="84" spans="4:6" ht="13.5" thickTop="1">
      <c r="D84" s="51"/>
      <c r="E84" s="51"/>
      <c r="F84" s="69"/>
    </row>
    <row r="85" spans="1:6" ht="12.75">
      <c r="A85" s="82" t="s">
        <v>350</v>
      </c>
      <c r="D85" s="51"/>
      <c r="E85" s="51"/>
      <c r="F85" s="69"/>
    </row>
    <row r="86" spans="1:6" ht="12.75">
      <c r="A86" s="3" t="s">
        <v>1678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VLOOKUP(A86,'IN-12-11'!A87:D961,4)</f>
        <v>0.92</v>
      </c>
      <c r="F86" s="69">
        <f>(D86*E86)</f>
        <v>21.528</v>
      </c>
    </row>
    <row r="87" spans="1:6" ht="12.75">
      <c r="A87" s="3" t="s">
        <v>1690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VLOOKUP(A87,'IN-12-11'!A45:D962,4)</f>
        <v>97.34</v>
      </c>
      <c r="F87" s="69">
        <f>(D87*E87)</f>
        <v>12.654200000000001</v>
      </c>
    </row>
    <row r="88" spans="1:6" ht="12.75">
      <c r="A88" s="82" t="s">
        <v>351</v>
      </c>
      <c r="D88" s="51"/>
      <c r="E88" s="51"/>
      <c r="F88" s="69"/>
    </row>
    <row r="89" spans="1:6" ht="12.75">
      <c r="A89" s="3" t="s">
        <v>1675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VLOOKUP(A89,'IN-12-11'!A90:D964,4)</f>
        <v>39.41</v>
      </c>
      <c r="F89" s="69">
        <f>(D89*E89)</f>
        <v>47.291999999999994</v>
      </c>
    </row>
    <row r="90" spans="1:6" ht="12.75">
      <c r="A90" s="82" t="s">
        <v>352</v>
      </c>
      <c r="D90" s="51"/>
      <c r="E90" s="51"/>
      <c r="F90" s="69"/>
    </row>
    <row r="91" spans="1:6" ht="12.75">
      <c r="A91" s="3" t="s">
        <v>1681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VLOOKUP(A91,'IN-12-11'!A92:D966,4)</f>
        <v>444.82</v>
      </c>
      <c r="F91" s="69">
        <f>(D91*E91)</f>
        <v>2.2241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346</v>
      </c>
      <c r="B93" s="391" t="s">
        <v>1925</v>
      </c>
      <c r="C93" s="77" t="str">
        <f>Fecha</f>
        <v>NOV/12</v>
      </c>
      <c r="D93" s="48"/>
      <c r="E93" s="48"/>
      <c r="F93" s="392">
        <f>SUM(F96:F103)</f>
        <v>136.95358000000002</v>
      </c>
      <c r="G93" s="41"/>
    </row>
    <row r="94" spans="1:7" ht="13.5" thickBot="1">
      <c r="A94" s="7" t="s">
        <v>345</v>
      </c>
      <c r="B94" s="7" t="s">
        <v>1729</v>
      </c>
      <c r="C94" s="78" t="s">
        <v>344</v>
      </c>
      <c r="D94" s="49" t="s">
        <v>1939</v>
      </c>
      <c r="E94" s="50"/>
      <c r="F94" s="68"/>
      <c r="G94" s="42" t="s">
        <v>1976</v>
      </c>
    </row>
    <row r="95" spans="4:6" ht="13.5" thickTop="1">
      <c r="D95" s="51"/>
      <c r="E95" s="51"/>
      <c r="F95" s="69"/>
    </row>
    <row r="96" spans="1:6" ht="12.75">
      <c r="A96" s="82" t="s">
        <v>350</v>
      </c>
      <c r="D96" s="51"/>
      <c r="E96" s="51"/>
      <c r="F96" s="69"/>
    </row>
    <row r="97" spans="1:6" ht="12.75">
      <c r="A97" s="3" t="s">
        <v>1678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VLOOKUP(A97,'IN-12-11'!A98:D972,4)</f>
        <v>0.92</v>
      </c>
      <c r="F97" s="69">
        <f>(D97*E97)</f>
        <v>46.644000000000005</v>
      </c>
    </row>
    <row r="98" spans="1:6" ht="12.75">
      <c r="A98" s="3" t="s">
        <v>1690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VLOOKUP(A98,'IN-12-11'!A45:D973,4)</f>
        <v>97.34</v>
      </c>
      <c r="F98" s="69">
        <f>(D98*E98)</f>
        <v>18.9813</v>
      </c>
    </row>
    <row r="99" spans="1:6" ht="12.75">
      <c r="A99" s="3" t="s">
        <v>1682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VLOOKUP(A99,'IN-12-11'!A9:D974,4)</f>
        <v>8.695</v>
      </c>
      <c r="F99" s="69">
        <f>(D99*E99)</f>
        <v>10.434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VLOOKUP(A101,'IN-12-11'!A102:D976,4)</f>
        <v>39.41</v>
      </c>
      <c r="F101" s="69">
        <f>(D101*E101)</f>
        <v>59.114999999999995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1681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VLOOKUP(A103,'IN-12-11'!A104:D978,4)</f>
        <v>444.82</v>
      </c>
      <c r="F103" s="69">
        <f>(D103*E103)</f>
        <v>1.77928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1">
      <selection activeCell="I62" sqref="I6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391" t="s">
        <v>1735</v>
      </c>
      <c r="C2" s="77" t="str">
        <f>Fecha</f>
        <v>NOV/12</v>
      </c>
      <c r="D2" s="48"/>
      <c r="E2" s="48"/>
      <c r="F2" s="392">
        <f>SUM(F4:F14)</f>
        <v>382.20534</v>
      </c>
      <c r="G2" s="41"/>
    </row>
    <row r="3" spans="1:7" ht="13.5" thickBot="1">
      <c r="A3" s="7" t="s">
        <v>345</v>
      </c>
      <c r="B3" s="7" t="s">
        <v>1736</v>
      </c>
      <c r="C3" s="78" t="s">
        <v>344</v>
      </c>
      <c r="D3" s="49" t="s">
        <v>1781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1405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VLOOKUP(A5,'IN-12-11'!A6:D880,4)</f>
        <v>15.73</v>
      </c>
      <c r="F5" s="69">
        <f aca="true" t="shared" si="2" ref="F5:F10">(D5*E5)</f>
        <v>17.303</v>
      </c>
    </row>
    <row r="6" spans="1:6" ht="12.75">
      <c r="A6" s="3" t="s">
        <v>1801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VLOOKUP(A6,'IN-12-11'!A7:D881,4)</f>
        <v>7.2933</v>
      </c>
      <c r="F6" s="69">
        <f t="shared" si="2"/>
        <v>2.18799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VLOOKUP(A7,'IN-12-11'!A8:D882,4)</f>
        <v>50.665</v>
      </c>
      <c r="F7" s="69">
        <f t="shared" si="2"/>
        <v>60.797999999999995</v>
      </c>
    </row>
    <row r="8" spans="1:6" ht="12.75">
      <c r="A8" s="3" t="s">
        <v>1694</v>
      </c>
      <c r="B8" s="4" t="str">
        <f>VLOOKUP(A8,'IN-12-11'!$A$5:$D$441,2)</f>
        <v>teja francesa</v>
      </c>
      <c r="C8" s="4" t="str">
        <f>VLOOKUP(A8,'IN-12-11'!$A$5:$D$441,3)</f>
        <v>u</v>
      </c>
      <c r="D8" s="51">
        <v>14</v>
      </c>
      <c r="E8" s="51">
        <f>VLOOKUP(A8,'IN-12-11'!A9:D883,4)</f>
        <v>3.86</v>
      </c>
      <c r="F8" s="69">
        <f t="shared" si="2"/>
        <v>54.04</v>
      </c>
    </row>
    <row r="9" spans="1:6" ht="12.75">
      <c r="A9" s="3" t="s">
        <v>1799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VLOOKUP(A9,'IN-12-11'!A10:D884,4)</f>
        <v>29.485</v>
      </c>
      <c r="F9" s="69">
        <f t="shared" si="2"/>
        <v>44.2275</v>
      </c>
    </row>
    <row r="10" spans="1:6" ht="12.75">
      <c r="A10" s="3" t="s">
        <v>1800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VLOOKUP(A10,'IN-12-11'!A11:D885,4)</f>
        <v>2.805</v>
      </c>
      <c r="F10" s="69">
        <f t="shared" si="2"/>
        <v>5.049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VLOOKUP(A12,'IN-12-11'!A13:D887,4)</f>
        <v>39.41</v>
      </c>
      <c r="F12" s="69">
        <f>(D12*E12)</f>
        <v>197.04999999999998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VLOOKUP(A14,'IN-12-11'!A15:D889,4)</f>
        <v>309.97</v>
      </c>
      <c r="F14" s="69">
        <f>(D14*E14)</f>
        <v>1.5498500000000002</v>
      </c>
    </row>
    <row r="15" ht="12.75">
      <c r="D15" s="51"/>
    </row>
    <row r="16" ht="13.5" thickBot="1">
      <c r="D16" s="51"/>
    </row>
    <row r="17" spans="1:7" ht="13.5" thickTop="1">
      <c r="A17" s="75" t="s">
        <v>346</v>
      </c>
      <c r="B17" s="391" t="s">
        <v>196</v>
      </c>
      <c r="C17" s="77" t="str">
        <f>Fecha</f>
        <v>NOV/12</v>
      </c>
      <c r="D17" s="48"/>
      <c r="E17" s="48"/>
      <c r="F17" s="392">
        <f>SUM(F19:F30)</f>
        <v>173.89770000000001</v>
      </c>
      <c r="G17" s="41"/>
    </row>
    <row r="18" spans="1:7" ht="13.5" thickBot="1">
      <c r="A18" s="7" t="s">
        <v>345</v>
      </c>
      <c r="B18" s="7" t="s">
        <v>1736</v>
      </c>
      <c r="C18" s="78" t="s">
        <v>344</v>
      </c>
      <c r="D18" s="49" t="s">
        <v>1870</v>
      </c>
      <c r="E18" s="50"/>
      <c r="F18" s="68"/>
      <c r="G18" s="42" t="s">
        <v>1976</v>
      </c>
    </row>
    <row r="19" spans="1:6" ht="13.5" thickTop="1">
      <c r="A19" s="82" t="s">
        <v>350</v>
      </c>
      <c r="D19" s="51"/>
      <c r="E19" s="51"/>
      <c r="F19" s="69"/>
    </row>
    <row r="20" spans="1:6" ht="12.75">
      <c r="A20" s="3" t="s">
        <v>1406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VLOOKUP(A20,'IN-12-11'!A21:D895,4)</f>
        <v>19.4</v>
      </c>
      <c r="F20" s="69">
        <f aca="true" t="shared" si="5" ref="F20:F26">(D20*E20)</f>
        <v>21.34</v>
      </c>
    </row>
    <row r="21" spans="1:6" ht="12.75">
      <c r="A21" s="3" t="s">
        <v>1684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VLOOKUP(A21,'IN-12-11'!A22:D896,4)</f>
        <v>7.85</v>
      </c>
      <c r="F21" s="69">
        <f t="shared" si="5"/>
        <v>8.635</v>
      </c>
    </row>
    <row r="22" spans="1:6" ht="12.75">
      <c r="A22" s="3" t="s">
        <v>1678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VLOOKUP(A22,'IN-12-11'!A23:D897,4)</f>
        <v>0.92</v>
      </c>
      <c r="F22" s="69">
        <f t="shared" si="5"/>
        <v>1.3800000000000001</v>
      </c>
    </row>
    <row r="23" spans="1:6" ht="12.75">
      <c r="A23" s="3" t="s">
        <v>1685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VLOOKUP(A23,'IN-12-11'!A24:D898,4)</f>
        <v>1.13</v>
      </c>
      <c r="F23" s="69">
        <f t="shared" si="5"/>
        <v>5.762999999999999</v>
      </c>
    </row>
    <row r="24" spans="1:6" ht="12.75">
      <c r="A24" s="3" t="s">
        <v>1680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VLOOKUP(A24,'IN-12-11'!A25:D899,4)</f>
        <v>101</v>
      </c>
      <c r="F24" s="69">
        <f t="shared" si="5"/>
        <v>4.545</v>
      </c>
    </row>
    <row r="25" spans="1:6" ht="12.75">
      <c r="A25" s="3" t="s">
        <v>1693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VLOOKUP(A25,'IN-12-11'!A26:D900,4)</f>
        <v>2.97</v>
      </c>
      <c r="F25" s="69">
        <f t="shared" si="5"/>
        <v>0.29700000000000004</v>
      </c>
    </row>
    <row r="26" spans="1:6" ht="12.75">
      <c r="A26" s="3" t="s">
        <v>1694</v>
      </c>
      <c r="B26" s="4" t="str">
        <f>VLOOKUP(A26,'IN-12-11'!$A$5:$D$441,2)</f>
        <v>teja francesa</v>
      </c>
      <c r="C26" s="4" t="str">
        <f>VLOOKUP(A26,'IN-12-11'!$A$5:$D$441,3)</f>
        <v>u</v>
      </c>
      <c r="D26" s="51">
        <v>15</v>
      </c>
      <c r="E26" s="51">
        <f>VLOOKUP(A26,'IN-12-11'!A27:D901,4)</f>
        <v>3.86</v>
      </c>
      <c r="F26" s="69">
        <f t="shared" si="5"/>
        <v>57.9</v>
      </c>
    </row>
    <row r="27" spans="1:6" ht="12.75">
      <c r="A27" s="82" t="s">
        <v>351</v>
      </c>
      <c r="D27" s="51"/>
      <c r="E27" s="51"/>
      <c r="F27" s="69"/>
    </row>
    <row r="28" spans="1:6" ht="12.75">
      <c r="A28" s="3" t="s">
        <v>1675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VLOOKUP(A28,'IN-12-11'!A29:D903,4)</f>
        <v>39.41</v>
      </c>
      <c r="F28" s="69">
        <f>(D28*E28)</f>
        <v>70.938</v>
      </c>
    </row>
    <row r="29" spans="1:6" ht="12.75">
      <c r="A29" s="82" t="s">
        <v>352</v>
      </c>
      <c r="D29" s="51"/>
      <c r="E29" s="51"/>
      <c r="F29" s="69"/>
    </row>
    <row r="30" spans="1:6" ht="12.75">
      <c r="A30" s="3" t="s">
        <v>1676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VLOOKUP(A30,'IN-12-11'!A31:D905,4)</f>
        <v>309.97</v>
      </c>
      <c r="F30" s="69">
        <f>(D30*E30)</f>
        <v>3.0997000000000003</v>
      </c>
    </row>
    <row r="31" ht="13.5" thickBot="1">
      <c r="D31" s="51"/>
    </row>
    <row r="32" spans="1:7" ht="13.5" thickTop="1">
      <c r="A32" s="75" t="s">
        <v>346</v>
      </c>
      <c r="B32" s="391" t="s">
        <v>1737</v>
      </c>
      <c r="C32" s="77" t="str">
        <f>Fecha</f>
        <v>NOV/12</v>
      </c>
      <c r="D32" s="48"/>
      <c r="E32" s="48"/>
      <c r="F32" s="392">
        <f>SUM(F34:F40)</f>
        <v>250.10660000000001</v>
      </c>
      <c r="G32" s="41"/>
    </row>
    <row r="33" spans="1:7" ht="13.5" thickBot="1">
      <c r="A33" s="7" t="s">
        <v>345</v>
      </c>
      <c r="B33" s="7" t="s">
        <v>1736</v>
      </c>
      <c r="C33" s="78" t="s">
        <v>344</v>
      </c>
      <c r="D33" s="49" t="s">
        <v>1802</v>
      </c>
      <c r="E33" s="50"/>
      <c r="F33" s="68"/>
      <c r="G33" s="42" t="s">
        <v>1976</v>
      </c>
    </row>
    <row r="34" spans="1:6" ht="13.5" thickTop="1">
      <c r="A34" s="82" t="s">
        <v>350</v>
      </c>
      <c r="D34" s="51"/>
      <c r="E34" s="51"/>
      <c r="F34" s="69"/>
    </row>
    <row r="35" spans="1:6" ht="12.75">
      <c r="A35" s="3" t="s">
        <v>1683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VLOOKUP(A35,'IN-12-11'!A36:D910,4)</f>
        <v>7.285</v>
      </c>
      <c r="F35" s="69">
        <f>(D35*E35)</f>
        <v>43.71</v>
      </c>
    </row>
    <row r="36" spans="1:6" ht="12.75">
      <c r="A36" s="3" t="s">
        <v>1695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VLOOKUP(A36,'IN-12-11'!A37:D911,4)</f>
        <v>116.53</v>
      </c>
      <c r="F36" s="69">
        <f>(D36*E36)</f>
        <v>85.0669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VLOOKUP(A38,'IN-12-11'!A39:D913,4)</f>
        <v>39.41</v>
      </c>
      <c r="F38" s="69">
        <f>(D38*E38)</f>
        <v>118.22999999999999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VLOOKUP(A40,'IN-12-11'!A41:D915,4)</f>
        <v>309.97</v>
      </c>
      <c r="F40" s="69">
        <f>(D40*E40)</f>
        <v>3.0997000000000003</v>
      </c>
    </row>
    <row r="41" ht="13.5" thickBot="1">
      <c r="D41" s="51"/>
    </row>
    <row r="42" spans="1:7" ht="13.5" thickTop="1">
      <c r="A42" s="75" t="s">
        <v>346</v>
      </c>
      <c r="B42" s="391" t="s">
        <v>1738</v>
      </c>
      <c r="C42" s="77" t="str">
        <f>Fecha</f>
        <v>NOV/12</v>
      </c>
      <c r="D42" s="48"/>
      <c r="E42" s="48"/>
      <c r="F42" s="392">
        <f>SUM(F44:F50)</f>
        <v>218.1532</v>
      </c>
      <c r="G42" s="41"/>
    </row>
    <row r="43" spans="1:7" ht="13.5" thickBot="1">
      <c r="A43" s="7" t="s">
        <v>345</v>
      </c>
      <c r="B43" s="7" t="s">
        <v>1736</v>
      </c>
      <c r="C43" s="78" t="s">
        <v>344</v>
      </c>
      <c r="D43" s="49" t="s">
        <v>1803</v>
      </c>
      <c r="E43" s="50"/>
      <c r="F43" s="68"/>
      <c r="G43" s="42" t="s">
        <v>1976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VLOOKUP(A45,'IN-12-11'!A46:D920,4)</f>
        <v>7.285</v>
      </c>
      <c r="F45" s="69">
        <f>(D45*E45)</f>
        <v>43.71</v>
      </c>
    </row>
    <row r="46" spans="1:6" ht="12.75">
      <c r="A46" s="3" t="s">
        <v>1696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VLOOKUP(A46,'IN-12-11'!A47:D921,4)</f>
        <v>118.03</v>
      </c>
      <c r="F46" s="69">
        <f>(D46*E46)</f>
        <v>53.1135</v>
      </c>
    </row>
    <row r="47" spans="1:6" ht="12.75">
      <c r="A47" s="82" t="s">
        <v>351</v>
      </c>
      <c r="D47" s="51"/>
      <c r="E47" s="51"/>
      <c r="F47" s="69"/>
    </row>
    <row r="48" spans="1:6" ht="12.75">
      <c r="A48" s="3" t="s">
        <v>1675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VLOOKUP(A48,'IN-12-11'!A49:D923,4)</f>
        <v>39.41</v>
      </c>
      <c r="F48" s="69">
        <f>(D48*E48)</f>
        <v>118.22999999999999</v>
      </c>
    </row>
    <row r="49" spans="1:6" ht="12.75">
      <c r="A49" s="82" t="s">
        <v>352</v>
      </c>
      <c r="D49" s="51"/>
      <c r="E49" s="51"/>
      <c r="F49" s="69"/>
    </row>
    <row r="50" spans="1:6" ht="12.75">
      <c r="A50" s="3" t="s">
        <v>1676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VLOOKUP(A50,'IN-12-11'!A51:D925,4)</f>
        <v>309.97</v>
      </c>
      <c r="F50" s="69">
        <f>(D50*E50)</f>
        <v>3.0997000000000003</v>
      </c>
    </row>
    <row r="51" ht="13.5" thickBot="1">
      <c r="D51" s="51"/>
    </row>
    <row r="52" spans="1:7" ht="13.5" thickTop="1">
      <c r="A52" s="75" t="s">
        <v>346</v>
      </c>
      <c r="B52" s="391" t="s">
        <v>1739</v>
      </c>
      <c r="C52" s="77" t="str">
        <f>Fecha</f>
        <v>NOV/12</v>
      </c>
      <c r="D52" s="48"/>
      <c r="E52" s="48"/>
      <c r="F52" s="392">
        <f>SUM(F54:F61)</f>
        <v>211.8097</v>
      </c>
      <c r="G52" s="41"/>
    </row>
    <row r="53" spans="1:7" ht="13.5" thickBot="1">
      <c r="A53" s="7" t="s">
        <v>345</v>
      </c>
      <c r="B53" s="7" t="s">
        <v>1736</v>
      </c>
      <c r="C53" s="78" t="s">
        <v>344</v>
      </c>
      <c r="D53" s="49" t="s">
        <v>1804</v>
      </c>
      <c r="E53" s="50"/>
      <c r="F53" s="68"/>
      <c r="G53" s="42" t="s">
        <v>1976</v>
      </c>
    </row>
    <row r="54" spans="1:6" ht="13.5" thickTop="1">
      <c r="A54" s="82" t="s">
        <v>350</v>
      </c>
      <c r="D54" s="51"/>
      <c r="E54" s="51"/>
      <c r="F54" s="69"/>
    </row>
    <row r="55" spans="1:6" ht="12.75">
      <c r="A55" s="3" t="s">
        <v>1805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VLOOKUP(A55,'IN-12-11'!A56:D930,4)</f>
        <v>10.94</v>
      </c>
      <c r="F55" s="69">
        <f>(D55*E55)</f>
        <v>12.034</v>
      </c>
    </row>
    <row r="56" spans="1:6" ht="12.75">
      <c r="A56" s="3" t="s">
        <v>1696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VLOOKUP(A56,'IN-12-11'!A57:D931,4)</f>
        <v>118.03</v>
      </c>
      <c r="F56" s="69">
        <f>(D56*E56)</f>
        <v>53.1135</v>
      </c>
    </row>
    <row r="57" spans="1:6" ht="12.75">
      <c r="A57" s="3" t="s">
        <v>148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VLOOKUP(A57,'IN-12-11'!A58:D932,4)</f>
        <v>50.665</v>
      </c>
      <c r="F57" s="69">
        <f>(D57*E57)</f>
        <v>25.3325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VLOOKUP(A59,'IN-12-11'!A60:D934,4)</f>
        <v>39.41</v>
      </c>
      <c r="F59" s="69">
        <f>(D59*E59)</f>
        <v>118.22999999999999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VLOOKUP(A61,'IN-12-11'!A62:D936,4)</f>
        <v>309.97</v>
      </c>
      <c r="F61" s="69">
        <f>(D61*E61)</f>
        <v>3.0997000000000003</v>
      </c>
    </row>
    <row r="62" ht="13.5" thickBot="1">
      <c r="D62" s="51"/>
    </row>
    <row r="63" spans="1:7" ht="13.5" thickTop="1">
      <c r="A63" s="75" t="s">
        <v>346</v>
      </c>
      <c r="B63" s="391" t="s">
        <v>1740</v>
      </c>
      <c r="C63" s="77" t="str">
        <f>Fecha</f>
        <v>NOV/12</v>
      </c>
      <c r="D63" s="48"/>
      <c r="E63" s="48"/>
      <c r="F63" s="392">
        <f>SUM(F65:F77)</f>
        <v>1420.7124999999999</v>
      </c>
      <c r="G63" s="41"/>
    </row>
    <row r="64" spans="1:7" ht="13.5" thickBot="1">
      <c r="A64" s="7" t="s">
        <v>345</v>
      </c>
      <c r="B64" s="7" t="s">
        <v>1736</v>
      </c>
      <c r="C64" s="78" t="s">
        <v>344</v>
      </c>
      <c r="D64" s="49" t="s">
        <v>1782</v>
      </c>
      <c r="E64" s="50"/>
      <c r="F64" s="68"/>
      <c r="G64" s="42" t="s">
        <v>1976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1678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VLOOKUP(A66,'IN-12-11'!A67:D941,4)</f>
        <v>0.92</v>
      </c>
      <c r="F66" s="69">
        <f aca="true" t="shared" si="8" ref="F66:F73">(D66*E66)</f>
        <v>11.040000000000001</v>
      </c>
    </row>
    <row r="67" spans="1:6" ht="12.75">
      <c r="A67" s="3" t="s">
        <v>1685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VLOOKUP(A67,'IN-12-11'!A68:D942,4)</f>
        <v>1.13</v>
      </c>
      <c r="F67" s="69">
        <f t="shared" si="8"/>
        <v>9.04</v>
      </c>
    </row>
    <row r="68" spans="1:6" ht="12.75">
      <c r="A68" s="3" t="s">
        <v>1406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VLOOKUP(A68,'IN-12-11'!A30:D943,4)</f>
        <v>19.4</v>
      </c>
      <c r="F68" s="69">
        <f t="shared" si="8"/>
        <v>21.34</v>
      </c>
    </row>
    <row r="69" spans="1:6" ht="12.75">
      <c r="A69" s="3" t="s">
        <v>1693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VLOOKUP(A69,'IN-12-11'!A38:D944,4)</f>
        <v>2.97</v>
      </c>
      <c r="F69" s="69">
        <f t="shared" si="8"/>
        <v>1.1880000000000002</v>
      </c>
    </row>
    <row r="70" spans="1:6" ht="12.75">
      <c r="A70" s="3" t="s">
        <v>1684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VLOOKUP(A70,'IN-12-11'!A39:D945,4)</f>
        <v>7.85</v>
      </c>
      <c r="F70" s="69">
        <f t="shared" si="8"/>
        <v>8.2425</v>
      </c>
    </row>
    <row r="71" spans="1:6" ht="12.75">
      <c r="A71" s="3" t="s">
        <v>1690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VLOOKUP(A71,'IN-12-11'!A45:D946,4)</f>
        <v>97.34</v>
      </c>
      <c r="F71" s="69">
        <f t="shared" si="8"/>
        <v>12.654200000000001</v>
      </c>
    </row>
    <row r="72" spans="1:6" ht="12.75">
      <c r="A72" s="3" t="s">
        <v>1680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VLOOKUP(A72,'IN-12-11'!A42:D947,4)</f>
        <v>101</v>
      </c>
      <c r="F72" s="69">
        <f t="shared" si="8"/>
        <v>2.5250000000000004</v>
      </c>
    </row>
    <row r="73" spans="1:7" s="133" customFormat="1" ht="12.75">
      <c r="A73" s="394" t="s">
        <v>1402</v>
      </c>
      <c r="B73" s="395" t="str">
        <f>VLOOKUP(A73,'IN-12-11'!$A$5:$D$441,2)</f>
        <v>baldosa roja 20x20 tipo azotea</v>
      </c>
      <c r="C73" s="395" t="str">
        <f>VLOOKUP(A73,'IN-12-11'!$A$5:$D$441,3)</f>
        <v>m2</v>
      </c>
      <c r="D73" s="64">
        <v>25</v>
      </c>
      <c r="E73" s="64">
        <f>VLOOKUP(A73,'IN-12-11'!A74:D948,4)</f>
        <v>47.17</v>
      </c>
      <c r="F73" s="396">
        <f t="shared" si="8"/>
        <v>1179.25</v>
      </c>
      <c r="G73" s="19"/>
    </row>
    <row r="74" spans="1:6" ht="12.75">
      <c r="A74" s="82" t="s">
        <v>351</v>
      </c>
      <c r="D74" s="51"/>
      <c r="E74" s="51"/>
      <c r="F74" s="69"/>
    </row>
    <row r="75" spans="1:6" ht="12.75">
      <c r="A75" s="3" t="s">
        <v>1675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VLOOKUP(A75,'IN-12-11'!A76:D950,4)</f>
        <v>39.41</v>
      </c>
      <c r="F75" s="69">
        <f>(D75*E75)</f>
        <v>157.64</v>
      </c>
    </row>
    <row r="76" spans="1:6" ht="12.75">
      <c r="A76" s="82" t="s">
        <v>352</v>
      </c>
      <c r="D76" s="51"/>
      <c r="E76" s="51"/>
      <c r="F76" s="69"/>
    </row>
    <row r="77" spans="1:6" ht="12.75">
      <c r="A77" s="3" t="s">
        <v>1681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VLOOKUP(A77,'IN-12-11'!A78:D952,4)</f>
        <v>444.82</v>
      </c>
      <c r="F77" s="69">
        <f>(D77*E77)</f>
        <v>17.7928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346</v>
      </c>
      <c r="B80" s="391" t="s">
        <v>1741</v>
      </c>
      <c r="C80" s="77" t="str">
        <f>Fecha</f>
        <v>NOV/12</v>
      </c>
      <c r="D80" s="48"/>
      <c r="E80" s="48"/>
      <c r="F80" s="392">
        <f>SUM(F82:F93)</f>
        <v>356.87475</v>
      </c>
      <c r="G80" s="41"/>
    </row>
    <row r="81" spans="1:7" ht="13.5" thickBot="1">
      <c r="A81" s="7" t="s">
        <v>345</v>
      </c>
      <c r="B81" s="7" t="s">
        <v>1736</v>
      </c>
      <c r="C81" s="78" t="s">
        <v>344</v>
      </c>
      <c r="D81" s="49" t="s">
        <v>1783</v>
      </c>
      <c r="E81" s="50"/>
      <c r="F81" s="68"/>
      <c r="G81" s="42" t="s">
        <v>1976</v>
      </c>
    </row>
    <row r="82" spans="1:6" ht="13.5" thickTop="1">
      <c r="A82" s="82" t="s">
        <v>350</v>
      </c>
      <c r="D82" s="51"/>
      <c r="E82" s="51"/>
      <c r="F82" s="69"/>
    </row>
    <row r="83" spans="1:6" ht="12.75">
      <c r="A83" s="3" t="s">
        <v>1678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VLOOKUP(A83,'IN-12-11'!A84:D958,4)</f>
        <v>0.92</v>
      </c>
      <c r="F83" s="69">
        <f aca="true" t="shared" si="11" ref="F83:F89">(D83*E83)</f>
        <v>23</v>
      </c>
    </row>
    <row r="84" spans="1:6" ht="12.75">
      <c r="A84" s="3" t="s">
        <v>1677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VLOOKUP(A84,'IN-12-11'!A7:D959,4)</f>
        <v>5.6933</v>
      </c>
      <c r="F84" s="69">
        <f t="shared" si="11"/>
        <v>8.53995</v>
      </c>
    </row>
    <row r="85" spans="1:6" ht="12.75">
      <c r="A85" s="3" t="s">
        <v>1679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VLOOKUP(A85,'IN-12-11'!A44:D960,4)</f>
        <v>90.4</v>
      </c>
      <c r="F85" s="69">
        <f t="shared" si="11"/>
        <v>4.5200000000000005</v>
      </c>
    </row>
    <row r="86" spans="1:6" ht="12.75">
      <c r="A86" s="3" t="s">
        <v>1680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VLOOKUP(A86,'IN-12-11'!A42:D961,4)</f>
        <v>101</v>
      </c>
      <c r="F86" s="69">
        <f t="shared" si="11"/>
        <v>4.04</v>
      </c>
    </row>
    <row r="87" spans="1:6" ht="12.75">
      <c r="A87" s="3" t="s">
        <v>1697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VLOOKUP(A87,'IN-12-11'!A88:D962,4)</f>
        <v>5.53</v>
      </c>
      <c r="F87" s="69">
        <f t="shared" si="11"/>
        <v>44.24</v>
      </c>
    </row>
    <row r="88" spans="1:6" ht="12.75">
      <c r="A88" s="3" t="s">
        <v>1806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VLOOKUP(A88,'IN-12-11'!A11:D963,4)</f>
        <v>7.535</v>
      </c>
      <c r="F88" s="69">
        <f t="shared" si="11"/>
        <v>9.7955</v>
      </c>
    </row>
    <row r="89" spans="1:6" ht="12.75">
      <c r="A89" s="3" t="s">
        <v>1698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VLOOKUP(A89,'IN-12-11'!A55:D964,4)</f>
        <v>21.6132</v>
      </c>
      <c r="F89" s="69">
        <f t="shared" si="11"/>
        <v>47.549040000000005</v>
      </c>
    </row>
    <row r="90" spans="1:6" ht="12.75">
      <c r="A90" s="82" t="s">
        <v>351</v>
      </c>
      <c r="D90" s="51"/>
      <c r="E90" s="51"/>
      <c r="F90" s="69"/>
    </row>
    <row r="91" spans="1:6" ht="12.75">
      <c r="A91" s="3" t="s">
        <v>1675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VLOOKUP(A91,'IN-12-11'!A92:D966,4)</f>
        <v>39.41</v>
      </c>
      <c r="F91" s="69">
        <f>(D91*E91)</f>
        <v>211.6317</v>
      </c>
    </row>
    <row r="92" spans="1:6" ht="12.75">
      <c r="A92" s="82" t="s">
        <v>352</v>
      </c>
      <c r="D92" s="51"/>
      <c r="E92" s="51"/>
      <c r="F92" s="69"/>
    </row>
    <row r="93" spans="1:6" ht="12.75">
      <c r="A93" s="3" t="s">
        <v>1681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VLOOKUP(A93,'IN-12-11'!A94:D968,4)</f>
        <v>444.82</v>
      </c>
      <c r="F93" s="69">
        <f>(D93*E93)</f>
        <v>3.55856</v>
      </c>
    </row>
    <row r="94" ht="13.5" thickBot="1">
      <c r="D94" s="51"/>
    </row>
    <row r="95" spans="1:7" ht="13.5" thickTop="1">
      <c r="A95" s="75" t="s">
        <v>346</v>
      </c>
      <c r="B95" s="391" t="s">
        <v>385</v>
      </c>
      <c r="C95" s="77" t="str">
        <f>Fecha</f>
        <v>NOV/12</v>
      </c>
      <c r="D95" s="48"/>
      <c r="E95" s="48"/>
      <c r="F95" s="392">
        <f>SUM(F97:F103)</f>
        <v>227.8407</v>
      </c>
      <c r="G95" s="41"/>
    </row>
    <row r="96" spans="1:7" ht="13.5" thickBot="1">
      <c r="A96" s="7" t="s">
        <v>345</v>
      </c>
      <c r="B96" s="7" t="s">
        <v>1736</v>
      </c>
      <c r="C96" s="78" t="s">
        <v>344</v>
      </c>
      <c r="D96" s="49" t="s">
        <v>383</v>
      </c>
      <c r="E96" s="50"/>
      <c r="F96" s="68"/>
      <c r="G96" s="42" t="s">
        <v>1976</v>
      </c>
    </row>
    <row r="97" spans="1:6" ht="13.5" thickTop="1">
      <c r="A97" s="82" t="s">
        <v>350</v>
      </c>
      <c r="D97" s="51"/>
      <c r="E97" s="51"/>
      <c r="F97" s="69"/>
    </row>
    <row r="98" spans="1:6" ht="12.75">
      <c r="A98" s="3" t="s">
        <v>1683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VLOOKUP(A98,'IN-12-11'!A62:D973,4)</f>
        <v>7.285</v>
      </c>
      <c r="F98" s="69">
        <f>(D98*E98)</f>
        <v>21.855</v>
      </c>
    </row>
    <row r="99" spans="1:6" ht="12.75">
      <c r="A99" s="3" t="s">
        <v>31</v>
      </c>
      <c r="B99" s="4" t="str">
        <f>VLOOKUP(A99,'IN-12-11'!$A$5:$D$441,2)</f>
        <v>policarbonato 4mm</v>
      </c>
      <c r="C99" s="4" t="str">
        <f>VLOOKUP(A99,'IN-12-11'!$A$5:$D$441,3)</f>
        <v>m2</v>
      </c>
      <c r="D99" s="51">
        <v>1.1</v>
      </c>
      <c r="E99" s="51">
        <f>VLOOKUP(A99,'IN-12-11'!A100:D974,4)</f>
        <v>76.96</v>
      </c>
      <c r="F99" s="69">
        <f>(D99*E99)</f>
        <v>84.656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VLOOKUP(A101,'IN-12-11'!A102:D976,4)</f>
        <v>39.41</v>
      </c>
      <c r="F101" s="69">
        <f>(D101*E101)</f>
        <v>118.22999999999999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VLOOKUP(A103,'IN-12-11'!A104:D978,4)</f>
        <v>309.97</v>
      </c>
      <c r="F103" s="69">
        <f>(D103*E103)</f>
        <v>3.0997000000000003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8" t="s">
        <v>1742</v>
      </c>
      <c r="C2" s="77" t="str">
        <f>Fecha</f>
        <v>NOV/12</v>
      </c>
      <c r="D2" s="48"/>
      <c r="E2" s="48"/>
      <c r="F2" s="67">
        <f>SUM(F4:F14)</f>
        <v>174.127837</v>
      </c>
      <c r="G2" s="41"/>
    </row>
    <row r="3" spans="1:7" ht="13.5" thickBot="1">
      <c r="A3" s="7" t="s">
        <v>345</v>
      </c>
      <c r="B3" s="7" t="s">
        <v>1743</v>
      </c>
      <c r="C3" s="78" t="s">
        <v>344</v>
      </c>
      <c r="D3" s="49" t="s">
        <v>1784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0.92</v>
      </c>
      <c r="F5" s="69">
        <f aca="true" t="shared" si="3" ref="F5:F10">(D5*E5)</f>
        <v>3.68</v>
      </c>
    </row>
    <row r="6" spans="1:6" ht="12.75">
      <c r="A6" s="3" t="s">
        <v>1685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1.13</v>
      </c>
      <c r="F6" s="69">
        <f t="shared" si="3"/>
        <v>3.5029999999999997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50.665</v>
      </c>
      <c r="F7" s="69">
        <f t="shared" si="3"/>
        <v>25.3325</v>
      </c>
    </row>
    <row r="8" spans="1:6" ht="12.75">
      <c r="A8" s="3" t="s">
        <v>1699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10.4367</v>
      </c>
      <c r="F8" s="69">
        <f t="shared" si="3"/>
        <v>13.672077</v>
      </c>
    </row>
    <row r="9" spans="1:6" ht="12.75">
      <c r="A9" s="3" t="s">
        <v>1680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101</v>
      </c>
      <c r="F9" s="69">
        <f t="shared" si="3"/>
        <v>3.03</v>
      </c>
    </row>
    <row r="10" spans="1:6" ht="12.75">
      <c r="A10" s="3" t="s">
        <v>1800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2.805</v>
      </c>
      <c r="F10" s="69">
        <f t="shared" si="3"/>
        <v>6.171000000000001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39.41</v>
      </c>
      <c r="F12" s="69">
        <f>(D12*E12)</f>
        <v>116.2595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309.97</v>
      </c>
      <c r="F14" s="69">
        <f>(D14*E14)</f>
        <v>2.47976</v>
      </c>
    </row>
    <row r="15" ht="13.5" thickBot="1">
      <c r="D15" s="51"/>
    </row>
    <row r="16" spans="1:7" ht="13.5" thickTop="1">
      <c r="A16" s="75" t="s">
        <v>346</v>
      </c>
      <c r="B16" s="8" t="s">
        <v>1744</v>
      </c>
      <c r="C16" s="77" t="str">
        <f>Fecha</f>
        <v>NOV/12</v>
      </c>
      <c r="D16" s="48"/>
      <c r="E16" s="48"/>
      <c r="F16" s="67">
        <f>SUM(F18:F29)</f>
        <v>204.963237</v>
      </c>
      <c r="G16" s="41"/>
    </row>
    <row r="17" spans="1:7" ht="13.5" thickBot="1">
      <c r="A17" s="7" t="s">
        <v>345</v>
      </c>
      <c r="B17" s="7" t="s">
        <v>1743</v>
      </c>
      <c r="C17" s="78" t="s">
        <v>344</v>
      </c>
      <c r="D17" s="49" t="s">
        <v>1786</v>
      </c>
      <c r="E17" s="50"/>
      <c r="F17" s="68"/>
      <c r="G17" s="42" t="s">
        <v>1976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1678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0.92</v>
      </c>
      <c r="F19" s="69">
        <f aca="true" t="shared" si="7" ref="F19:F25">(D19*E19)</f>
        <v>3.68</v>
      </c>
    </row>
    <row r="20" spans="1:6" ht="12.75">
      <c r="A20" s="3" t="s">
        <v>1685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1.13</v>
      </c>
      <c r="F20" s="69">
        <f t="shared" si="7"/>
        <v>1.2429999999999999</v>
      </c>
    </row>
    <row r="21" spans="1:6" ht="12.75">
      <c r="A21" s="3" t="s">
        <v>148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50.665</v>
      </c>
      <c r="F21" s="69">
        <f t="shared" si="7"/>
        <v>25.3325</v>
      </c>
    </row>
    <row r="22" spans="1:6" ht="12.75">
      <c r="A22" s="3" t="s">
        <v>1699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10.4367</v>
      </c>
      <c r="F22" s="69">
        <f t="shared" si="7"/>
        <v>13.672077</v>
      </c>
    </row>
    <row r="23" spans="1:6" ht="12.75">
      <c r="A23" s="3" t="s">
        <v>1680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101</v>
      </c>
      <c r="F23" s="69">
        <f t="shared" si="7"/>
        <v>0.606</v>
      </c>
    </row>
    <row r="24" spans="1:6" ht="12.75">
      <c r="A24" s="3" t="s">
        <v>1689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1.9733</v>
      </c>
      <c r="F24" s="69">
        <f t="shared" si="7"/>
        <v>35.519400000000005</v>
      </c>
    </row>
    <row r="25" spans="1:6" ht="12.75">
      <c r="A25" s="3" t="s">
        <v>1800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2.805</v>
      </c>
      <c r="F25" s="69">
        <f t="shared" si="7"/>
        <v>6.171000000000001</v>
      </c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39.41</v>
      </c>
      <c r="F27" s="69">
        <f>(D27*E27)</f>
        <v>116.2595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309.97</v>
      </c>
      <c r="F29" s="69">
        <f>(D29*E29)</f>
        <v>2.47976</v>
      </c>
    </row>
    <row r="30" spans="3:4" ht="13.5" thickBot="1">
      <c r="C30" s="6"/>
      <c r="D30" s="51"/>
    </row>
    <row r="31" spans="1:7" ht="13.5" thickTop="1">
      <c r="A31" s="75" t="s">
        <v>346</v>
      </c>
      <c r="B31" s="8" t="s">
        <v>1745</v>
      </c>
      <c r="C31" s="77" t="str">
        <f>Fecha</f>
        <v>NOV/12</v>
      </c>
      <c r="D31" s="48"/>
      <c r="E31" s="48"/>
      <c r="F31" s="67">
        <f>SUM(F33:F38)</f>
        <v>167.43025999999998</v>
      </c>
      <c r="G31" s="41"/>
    </row>
    <row r="32" spans="1:7" ht="13.5" thickBot="1">
      <c r="A32" s="7" t="s">
        <v>345</v>
      </c>
      <c r="B32" s="7" t="s">
        <v>1743</v>
      </c>
      <c r="C32" s="78" t="s">
        <v>344</v>
      </c>
      <c r="D32" s="49" t="s">
        <v>1787</v>
      </c>
      <c r="E32" s="50"/>
      <c r="F32" s="68"/>
      <c r="G32" s="42" t="s">
        <v>1976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50.665</v>
      </c>
      <c r="F34" s="69">
        <f>(D34*E34)</f>
        <v>86.1305</v>
      </c>
    </row>
    <row r="35" spans="1:6" ht="12.75">
      <c r="A35" s="82" t="s">
        <v>351</v>
      </c>
      <c r="D35" s="51"/>
      <c r="E35" s="51"/>
      <c r="F35" s="69"/>
    </row>
    <row r="36" spans="1:6" ht="12.75">
      <c r="A36" s="3" t="s">
        <v>1675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39.41</v>
      </c>
      <c r="F36" s="69">
        <f>(D36*E36)</f>
        <v>78.82</v>
      </c>
    </row>
    <row r="37" spans="1:6" ht="12.75">
      <c r="A37" s="82" t="s">
        <v>352</v>
      </c>
      <c r="D37" s="51"/>
      <c r="E37" s="51"/>
      <c r="F37" s="69"/>
    </row>
    <row r="38" spans="1:6" ht="12.75">
      <c r="A38" s="3" t="s">
        <v>1676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309.97</v>
      </c>
      <c r="F38" s="69">
        <f>(D38*E38)</f>
        <v>2.47976</v>
      </c>
    </row>
    <row r="39" ht="13.5" thickBot="1">
      <c r="D39" s="51"/>
    </row>
    <row r="40" spans="1:7" ht="13.5" thickTop="1">
      <c r="A40" s="75" t="s">
        <v>346</v>
      </c>
      <c r="B40" s="8" t="s">
        <v>1746</v>
      </c>
      <c r="C40" s="77" t="str">
        <f>Fecha</f>
        <v>NOV/12</v>
      </c>
      <c r="D40" s="48"/>
      <c r="E40" s="48"/>
      <c r="F40" s="67">
        <f>SUM(F42:F48)</f>
        <v>161.11664</v>
      </c>
      <c r="G40" s="41"/>
    </row>
    <row r="41" spans="1:7" ht="13.5" thickBot="1">
      <c r="A41" s="7" t="s">
        <v>345</v>
      </c>
      <c r="B41" s="7" t="s">
        <v>1743</v>
      </c>
      <c r="C41" s="78" t="s">
        <v>344</v>
      </c>
      <c r="D41" s="49" t="s">
        <v>1788</v>
      </c>
      <c r="E41" s="50"/>
      <c r="F41" s="68"/>
      <c r="G41" s="42" t="s">
        <v>1976</v>
      </c>
    </row>
    <row r="42" spans="1:6" ht="13.5" thickTop="1">
      <c r="A42" s="82" t="s">
        <v>350</v>
      </c>
      <c r="D42" s="51"/>
      <c r="E42" s="51"/>
      <c r="F42" s="69"/>
    </row>
    <row r="43" spans="1:6" ht="12.75">
      <c r="A43" s="3" t="s">
        <v>177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10.66</v>
      </c>
      <c r="F43" s="69">
        <f>(D43*E43)</f>
        <v>50.102000000000004</v>
      </c>
    </row>
    <row r="44" spans="1:6" ht="12.75">
      <c r="A44" s="3" t="s">
        <v>79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43.8</v>
      </c>
      <c r="F44" s="69">
        <f>(D44*E44)</f>
        <v>48.18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39.41</v>
      </c>
      <c r="F46" s="69">
        <f>(D46*E46)</f>
        <v>59.114999999999995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1676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309.97</v>
      </c>
      <c r="F48" s="69">
        <f>(D48*E48)</f>
        <v>3.7196400000000005</v>
      </c>
    </row>
    <row r="49" ht="13.5" thickBot="1">
      <c r="D49" s="51"/>
    </row>
    <row r="50" spans="1:7" ht="13.5" thickTop="1">
      <c r="A50" s="75" t="s">
        <v>346</v>
      </c>
      <c r="B50" s="8" t="s">
        <v>1747</v>
      </c>
      <c r="C50" s="77" t="str">
        <f>Fecha</f>
        <v>NOV/12</v>
      </c>
      <c r="D50" s="48"/>
      <c r="E50" s="48"/>
      <c r="F50" s="67">
        <f>SUM(F52:F59)</f>
        <v>84.95842999999999</v>
      </c>
      <c r="G50" s="41"/>
    </row>
    <row r="51" spans="1:7" ht="13.5" thickBot="1">
      <c r="A51" s="7" t="s">
        <v>345</v>
      </c>
      <c r="B51" s="7" t="s">
        <v>1743</v>
      </c>
      <c r="C51" s="78" t="s">
        <v>344</v>
      </c>
      <c r="D51" s="49" t="s">
        <v>1789</v>
      </c>
      <c r="E51" s="50"/>
      <c r="F51" s="68"/>
      <c r="G51" s="42" t="s">
        <v>1976</v>
      </c>
    </row>
    <row r="52" spans="1:6" ht="13.5" thickTop="1">
      <c r="A52" s="82" t="s">
        <v>350</v>
      </c>
      <c r="D52" s="51"/>
      <c r="E52" s="51"/>
      <c r="F52" s="69"/>
    </row>
    <row r="53" spans="1:6" ht="12.75">
      <c r="A53" s="3" t="s">
        <v>1678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0.92</v>
      </c>
      <c r="F53" s="69">
        <f>(D53*E53)</f>
        <v>5.5200000000000005</v>
      </c>
    </row>
    <row r="54" spans="1:6" ht="12.75">
      <c r="A54" s="3" t="s">
        <v>1685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1.13</v>
      </c>
      <c r="F54" s="69">
        <f>(D54*E54)</f>
        <v>4.52</v>
      </c>
    </row>
    <row r="55" spans="1:6" ht="12.75">
      <c r="A55" s="3" t="s">
        <v>1680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101</v>
      </c>
      <c r="F55" s="69">
        <f>(D55*E55)</f>
        <v>2.5250000000000004</v>
      </c>
    </row>
    <row r="56" spans="1:6" ht="12.75">
      <c r="A56" s="82" t="s">
        <v>351</v>
      </c>
      <c r="C56" s="6"/>
      <c r="D56" s="51"/>
      <c r="E56" s="51"/>
      <c r="F56" s="69"/>
    </row>
    <row r="57" spans="1:6" ht="12.75">
      <c r="A57" s="3" t="s">
        <v>1675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39.41</v>
      </c>
      <c r="F57" s="69">
        <f>(D57*E57)</f>
        <v>71.72619999999999</v>
      </c>
    </row>
    <row r="58" spans="1:6" ht="12.75">
      <c r="A58" s="82" t="s">
        <v>352</v>
      </c>
      <c r="D58" s="51"/>
      <c r="E58" s="51"/>
      <c r="F58" s="69"/>
    </row>
    <row r="59" spans="1:6" ht="12.75">
      <c r="A59" s="3" t="s">
        <v>1681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444.82</v>
      </c>
      <c r="F59" s="69">
        <f>(D59*E59)</f>
        <v>0.66723</v>
      </c>
    </row>
    <row r="60" ht="13.5" thickBot="1">
      <c r="D60" s="51"/>
    </row>
    <row r="61" spans="1:7" ht="13.5" thickTop="1">
      <c r="A61" s="75" t="s">
        <v>346</v>
      </c>
      <c r="B61" s="8" t="s">
        <v>197</v>
      </c>
      <c r="C61" s="77" t="str">
        <f>Fecha</f>
        <v>NOV/12</v>
      </c>
      <c r="D61" s="48"/>
      <c r="E61" s="48"/>
      <c r="F61" s="67">
        <f>SUM(F63:F68)</f>
        <v>115.318004</v>
      </c>
      <c r="G61" s="41"/>
    </row>
    <row r="62" spans="1:7" ht="13.5" thickBot="1">
      <c r="A62" s="7" t="s">
        <v>345</v>
      </c>
      <c r="B62" s="7" t="s">
        <v>1743</v>
      </c>
      <c r="C62" s="78" t="s">
        <v>344</v>
      </c>
      <c r="D62" s="49" t="s">
        <v>1790</v>
      </c>
      <c r="E62" s="50"/>
      <c r="F62" s="68"/>
      <c r="G62" s="42" t="s">
        <v>1976</v>
      </c>
    </row>
    <row r="63" spans="1:6" ht="13.5" thickTop="1">
      <c r="A63" s="82" t="s">
        <v>350</v>
      </c>
      <c r="D63" s="51"/>
      <c r="E63" s="51"/>
      <c r="F63" s="69"/>
    </row>
    <row r="64" spans="1:6" ht="12.75">
      <c r="A64" s="3" t="s">
        <v>1689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1.9733</v>
      </c>
      <c r="F64" s="69">
        <f>(D64*E64)</f>
        <v>35.519400000000005</v>
      </c>
    </row>
    <row r="65" spans="1:6" ht="12.75">
      <c r="A65" s="82" t="s">
        <v>351</v>
      </c>
      <c r="C65" s="6"/>
      <c r="D65" s="51"/>
      <c r="E65" s="51"/>
      <c r="F65" s="69"/>
    </row>
    <row r="66" spans="1:6" ht="12.75">
      <c r="A66" s="3" t="s">
        <v>1675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39.41</v>
      </c>
      <c r="F66" s="69">
        <f>(D66*E66)</f>
        <v>78.82</v>
      </c>
    </row>
    <row r="67" spans="1:6" ht="12.75">
      <c r="A67" s="82" t="s">
        <v>352</v>
      </c>
      <c r="D67" s="51"/>
      <c r="E67" s="51"/>
      <c r="F67" s="69"/>
    </row>
    <row r="68" spans="1:6" ht="12.75">
      <c r="A68" s="3" t="s">
        <v>1681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444.82</v>
      </c>
      <c r="F68" s="69">
        <f>(D68*E68)</f>
        <v>0.978604</v>
      </c>
    </row>
    <row r="69" ht="13.5" thickBot="1"/>
    <row r="70" spans="1:7" ht="13.5" thickTop="1">
      <c r="A70" s="75" t="s">
        <v>346</v>
      </c>
      <c r="B70" s="8" t="s">
        <v>1746</v>
      </c>
      <c r="C70" s="77" t="str">
        <f>Fecha</f>
        <v>NOV/12</v>
      </c>
      <c r="D70" s="48"/>
      <c r="E70" s="48"/>
      <c r="F70" s="67">
        <f>SUM(F72:F78)</f>
        <v>138.11564</v>
      </c>
      <c r="G70" s="41"/>
    </row>
    <row r="71" spans="1:7" ht="13.5" thickBot="1">
      <c r="A71" s="7" t="s">
        <v>345</v>
      </c>
      <c r="B71" s="7" t="s">
        <v>1743</v>
      </c>
      <c r="C71" s="78" t="s">
        <v>344</v>
      </c>
      <c r="D71" s="49" t="s">
        <v>392</v>
      </c>
      <c r="E71" s="50"/>
      <c r="F71" s="68"/>
      <c r="G71" s="42" t="s">
        <v>1976</v>
      </c>
    </row>
    <row r="72" spans="1:6" ht="13.5" thickTop="1">
      <c r="A72" s="82" t="s">
        <v>350</v>
      </c>
      <c r="D72" s="51"/>
      <c r="E72" s="51"/>
      <c r="F72" s="69"/>
    </row>
    <row r="73" spans="1:6" ht="12.75">
      <c r="A73" s="3" t="s">
        <v>177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10.66</v>
      </c>
      <c r="F73" s="69">
        <f>(D73*E73)</f>
        <v>50.102000000000004</v>
      </c>
    </row>
    <row r="74" spans="1:6" ht="12.75">
      <c r="A74" s="3" t="s">
        <v>393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22.89</v>
      </c>
      <c r="F74" s="69">
        <f>(D74*E74)</f>
        <v>25.179000000000002</v>
      </c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39.41</v>
      </c>
      <c r="F76" s="69">
        <f>(D76*E76)</f>
        <v>59.114999999999995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309.97</v>
      </c>
      <c r="F78" s="69">
        <f>(D78*E78)</f>
        <v>3.7196400000000005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I39" sqref="I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1748</v>
      </c>
      <c r="C2" s="77" t="str">
        <f>Fecha</f>
        <v>NOV/12</v>
      </c>
      <c r="D2" s="48"/>
      <c r="E2" s="48"/>
      <c r="F2" s="392">
        <f>SUM(F4:F9)</f>
        <v>22.50782</v>
      </c>
      <c r="G2" s="41"/>
    </row>
    <row r="3" spans="1:7" ht="13.5" thickBot="1">
      <c r="A3" s="7" t="s">
        <v>345</v>
      </c>
      <c r="B3" s="7" t="s">
        <v>1749</v>
      </c>
      <c r="C3" s="78" t="s">
        <v>344</v>
      </c>
      <c r="D3" s="49" t="s">
        <v>180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VLOOKUP(A5,'IN-12-11'!A6:D880,4)</f>
        <v>5.12</v>
      </c>
      <c r="F5" s="69">
        <f>(D5*E5)</f>
        <v>10.24</v>
      </c>
    </row>
    <row r="6" spans="1:6" ht="12.75">
      <c r="A6" s="82" t="s">
        <v>351</v>
      </c>
      <c r="D6" s="51"/>
      <c r="E6" s="51"/>
      <c r="F6" s="69"/>
    </row>
    <row r="7" spans="1:6" ht="12.75">
      <c r="A7" s="3" t="s">
        <v>1675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VLOOKUP(A7,'IN-12-11'!A8:D882,4)</f>
        <v>39.41</v>
      </c>
      <c r="F7" s="69">
        <f>(D7*E7)</f>
        <v>11.822999999999999</v>
      </c>
    </row>
    <row r="8" spans="1:6" ht="12.75">
      <c r="A8" s="82" t="s">
        <v>352</v>
      </c>
      <c r="D8" s="51"/>
      <c r="E8" s="51"/>
      <c r="F8" s="69"/>
    </row>
    <row r="9" spans="1:6" ht="12.75">
      <c r="A9" s="3" t="s">
        <v>1681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VLOOKUP(A9,'IN-12-11'!A10:D884,4)</f>
        <v>444.82</v>
      </c>
      <c r="F9" s="69">
        <f>(D9*E9)</f>
        <v>0.44482</v>
      </c>
    </row>
    <row r="10" ht="13.5" thickBot="1">
      <c r="C10" s="78"/>
    </row>
    <row r="11" spans="1:7" ht="13.5" thickTop="1">
      <c r="A11" s="75" t="s">
        <v>346</v>
      </c>
      <c r="B11" s="391" t="s">
        <v>1750</v>
      </c>
      <c r="C11" s="77" t="str">
        <f>Fecha</f>
        <v>NOV/12</v>
      </c>
      <c r="D11" s="48"/>
      <c r="E11" s="48"/>
      <c r="F11" s="392">
        <f>SUM(F13:F20)</f>
        <v>100.92604999999999</v>
      </c>
      <c r="G11" s="41"/>
    </row>
    <row r="12" spans="1:7" ht="13.5" thickBot="1">
      <c r="A12" s="7" t="s">
        <v>345</v>
      </c>
      <c r="B12" s="7" t="s">
        <v>1749</v>
      </c>
      <c r="C12" s="78" t="s">
        <v>344</v>
      </c>
      <c r="D12" s="49" t="s">
        <v>1791</v>
      </c>
      <c r="E12" s="50"/>
      <c r="F12" s="68"/>
      <c r="G12" s="42" t="s">
        <v>1976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1807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VLOOKUP(A14,'IN-12-11'!A15:D889,4)</f>
        <v>68</v>
      </c>
      <c r="F14" s="69">
        <f>(D14*E14)</f>
        <v>0.68</v>
      </c>
    </row>
    <row r="15" spans="1:6" ht="12.75">
      <c r="A15" s="3" t="s">
        <v>1692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VLOOKUP(A15,'IN-12-11'!A16:D890,4)</f>
        <v>1.525</v>
      </c>
      <c r="F15" s="69">
        <f>(D15*E15)</f>
        <v>5.3374999999999995</v>
      </c>
    </row>
    <row r="16" spans="1:6" ht="12.75">
      <c r="A16" s="3" t="s">
        <v>1380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VLOOKUP(A16,'IN-12-11'!A17:D891,4)</f>
        <v>33.03</v>
      </c>
      <c r="F16" s="69">
        <f>(D16*E16)</f>
        <v>34.6815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VLOOKUP(A18,'IN-12-11'!A19:D893,4)</f>
        <v>39.41</v>
      </c>
      <c r="F18" s="69">
        <f>(D18*E18)</f>
        <v>59.114999999999995</v>
      </c>
    </row>
    <row r="19" spans="1:6" ht="12.75">
      <c r="A19" s="82" t="s">
        <v>352</v>
      </c>
      <c r="D19" s="51"/>
      <c r="E19" s="51"/>
      <c r="F19" s="69"/>
    </row>
    <row r="20" spans="1:6" ht="12.75">
      <c r="A20" s="3" t="s">
        <v>1681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VLOOKUP(A20,'IN-12-11'!A21:D895,4)</f>
        <v>444.82</v>
      </c>
      <c r="F20" s="69">
        <f>(D20*E20)</f>
        <v>1.11205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9">
      <selection activeCell="E69" sqref="E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1751</v>
      </c>
      <c r="C2" s="77" t="str">
        <f>Fecha</f>
        <v>NOV/12</v>
      </c>
      <c r="D2" s="48"/>
      <c r="E2" s="48"/>
      <c r="F2" s="392">
        <f>SUM(F4:F12)</f>
        <v>9098.6907</v>
      </c>
      <c r="G2" s="41"/>
    </row>
    <row r="3" spans="1:7" ht="13.5" thickBot="1">
      <c r="A3" s="7" t="s">
        <v>345</v>
      </c>
      <c r="B3" s="7" t="s">
        <v>1752</v>
      </c>
      <c r="C3" s="78" t="s">
        <v>344</v>
      </c>
      <c r="D3" s="49" t="s">
        <v>1792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VLOOKUP(A5,'IN-12-11'!A6:D880,4)</f>
        <v>1962.81</v>
      </c>
      <c r="F5" s="69">
        <f>(D5*E5)</f>
        <v>1962.81</v>
      </c>
    </row>
    <row r="6" spans="1:6" ht="12.75">
      <c r="A6" s="3" t="s">
        <v>1702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VLOOKUP(A6,'IN-12-11'!A7:D881,4)</f>
        <v>374.19</v>
      </c>
      <c r="F6" s="69">
        <f>(D6*E6)</f>
        <v>1496.76</v>
      </c>
    </row>
    <row r="7" spans="1:6" ht="12.75">
      <c r="A7" s="3" t="s">
        <v>1381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VLOOKUP(A7,'IN-12-11'!A8:D882,4)</f>
        <v>574.57</v>
      </c>
      <c r="F7" s="69">
        <f>(D7*E7)</f>
        <v>3734.7050000000004</v>
      </c>
    </row>
    <row r="8" spans="1:6" ht="12.75">
      <c r="A8" s="3" t="s">
        <v>52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VLOOKUP(A8,'IN-12-11'!A9:D883,4)</f>
        <v>58.15</v>
      </c>
      <c r="F8" s="69">
        <f>(D8*E8)</f>
        <v>220.8537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VLOOKUP(A10,'IN-12-11'!A11:D885,4)</f>
        <v>39.41</v>
      </c>
      <c r="F10" s="69">
        <f>(D10*E10)</f>
        <v>1497.58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VLOOKUP(A12,'IN-12-11'!A13:D887,4)</f>
        <v>309.97</v>
      </c>
      <c r="F12" s="69">
        <f>(D12*E12)</f>
        <v>185.982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346</v>
      </c>
      <c r="B15" s="391" t="s">
        <v>1856</v>
      </c>
      <c r="C15" s="77" t="str">
        <f>Fecha</f>
        <v>NOV/12</v>
      </c>
      <c r="D15" s="48"/>
      <c r="E15" s="48"/>
      <c r="F15" s="392">
        <f>SUM(F17:F22)</f>
        <v>4789.214</v>
      </c>
      <c r="G15" s="41"/>
    </row>
    <row r="16" spans="1:7" ht="13.5" thickBot="1">
      <c r="A16" s="7" t="s">
        <v>345</v>
      </c>
      <c r="B16" s="7" t="s">
        <v>1752</v>
      </c>
      <c r="C16" s="78" t="s">
        <v>344</v>
      </c>
      <c r="D16" s="49" t="s">
        <v>1857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1381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VLOOKUP(A18,'IN-12-11'!A19:D893,4)</f>
        <v>574.57</v>
      </c>
      <c r="F18" s="69">
        <f>(D18*E18)</f>
        <v>3734.7050000000004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VLOOKUP(A20,'IN-12-11'!A21:D895,4)</f>
        <v>39.41</v>
      </c>
      <c r="F20" s="69">
        <f>(D20*E20)</f>
        <v>965.545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VLOOKUP(A22,'IN-12-11'!A23:D897,4)</f>
        <v>444.82</v>
      </c>
      <c r="F22" s="69">
        <f>(D22*E22)</f>
        <v>88.964</v>
      </c>
    </row>
    <row r="23" ht="13.5" thickBot="1"/>
    <row r="24" spans="1:7" ht="13.5" thickTop="1">
      <c r="A24" s="75" t="s">
        <v>346</v>
      </c>
      <c r="B24" s="391" t="s">
        <v>1858</v>
      </c>
      <c r="C24" s="77" t="str">
        <f>Fecha</f>
        <v>NOV/12</v>
      </c>
      <c r="D24" s="48"/>
      <c r="E24" s="48"/>
      <c r="F24" s="392">
        <f>SUM(F26:F33)</f>
        <v>4234.7562</v>
      </c>
      <c r="G24" s="41"/>
    </row>
    <row r="25" spans="1:7" ht="13.5" thickBot="1">
      <c r="A25" s="7" t="s">
        <v>345</v>
      </c>
      <c r="B25" s="7" t="s">
        <v>1752</v>
      </c>
      <c r="C25" s="78" t="s">
        <v>344</v>
      </c>
      <c r="D25" s="49" t="s">
        <v>1859</v>
      </c>
      <c r="E25" s="50"/>
      <c r="F25" s="68"/>
      <c r="G25" s="42" t="s">
        <v>347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52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VLOOKUP(A27,'IN-12-11'!A28:D902,4)</f>
        <v>58.15</v>
      </c>
      <c r="F27" s="69">
        <f>(D27*E27)</f>
        <v>194.22099999999998</v>
      </c>
    </row>
    <row r="28" spans="1:6" ht="12.75">
      <c r="A28" s="3" t="s">
        <v>1701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VLOOKUP(A28,'IN-12-11'!A29:D903,4)</f>
        <v>1962.81</v>
      </c>
      <c r="F28" s="69">
        <f>(D28*E28)</f>
        <v>1962.81</v>
      </c>
    </row>
    <row r="29" spans="1:6" ht="12.75">
      <c r="A29" s="3" t="s">
        <v>1702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VLOOKUP(A29,'IN-12-11'!A30:D904,4)</f>
        <v>374.19</v>
      </c>
      <c r="F29" s="69">
        <f>(D29*E29)</f>
        <v>1496.76</v>
      </c>
    </row>
    <row r="30" spans="1:6" ht="12.75">
      <c r="A30" s="82" t="s">
        <v>351</v>
      </c>
      <c r="D30" s="51"/>
      <c r="E30" s="51"/>
      <c r="F30" s="69"/>
    </row>
    <row r="31" spans="1:6" ht="12.75">
      <c r="A31" s="3" t="s">
        <v>1675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VLOOKUP(A31,'IN-12-11'!A32:D906,4)</f>
        <v>39.41</v>
      </c>
      <c r="F31" s="69">
        <f>(D31*E31)</f>
        <v>532.035</v>
      </c>
    </row>
    <row r="32" spans="1:6" ht="12.75">
      <c r="A32" s="82" t="s">
        <v>352</v>
      </c>
      <c r="D32" s="51"/>
      <c r="E32" s="51"/>
      <c r="F32" s="69"/>
    </row>
    <row r="33" spans="1:6" ht="12.75">
      <c r="A33" s="3" t="s">
        <v>1681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VLOOKUP(A33,'IN-12-11'!A34:D908,4)</f>
        <v>444.82</v>
      </c>
      <c r="F33" s="69">
        <f>(D33*E33)</f>
        <v>48.9302</v>
      </c>
    </row>
    <row r="34" ht="13.5" thickBot="1"/>
    <row r="35" spans="1:7" ht="13.5" thickTop="1">
      <c r="A35" s="75" t="s">
        <v>346</v>
      </c>
      <c r="B35" s="391" t="s">
        <v>338</v>
      </c>
      <c r="C35" s="77" t="str">
        <f>Fecha</f>
        <v>NOV/12</v>
      </c>
      <c r="D35" s="48"/>
      <c r="E35" s="48"/>
      <c r="F35" s="392">
        <f>SUM(F37:F45)</f>
        <v>10517.286200000002</v>
      </c>
      <c r="G35" s="41"/>
    </row>
    <row r="36" spans="1:7" ht="13.5" thickBot="1">
      <c r="A36" s="7" t="s">
        <v>345</v>
      </c>
      <c r="B36" s="7" t="s">
        <v>1752</v>
      </c>
      <c r="C36" s="78" t="s">
        <v>344</v>
      </c>
      <c r="D36" s="49" t="s">
        <v>337</v>
      </c>
      <c r="E36" s="50"/>
      <c r="F36" s="68"/>
      <c r="G36" s="42" t="s">
        <v>347</v>
      </c>
    </row>
    <row r="37" spans="1:6" ht="13.5" thickTop="1">
      <c r="A37" s="82" t="s">
        <v>350</v>
      </c>
      <c r="D37" s="51"/>
      <c r="E37" s="51"/>
      <c r="F37" s="69"/>
    </row>
    <row r="38" spans="1:6" ht="12.75">
      <c r="A38" s="3" t="s">
        <v>52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VLOOKUP(A38,'IN-12-11'!A39:D913,4)</f>
        <v>58.15</v>
      </c>
      <c r="F38" s="69">
        <f>(D38*E38)</f>
        <v>194.22099999999998</v>
      </c>
    </row>
    <row r="39" spans="1:6" ht="12.75">
      <c r="A39" s="3" t="s">
        <v>1701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VLOOKUP(A39,'IN-12-11'!A40:D914,4)</f>
        <v>1962.81</v>
      </c>
      <c r="F39" s="69">
        <f>(D39*E39)</f>
        <v>1962.81</v>
      </c>
    </row>
    <row r="40" spans="1:6" ht="12.75">
      <c r="A40" s="3" t="s">
        <v>1702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VLOOKUP(A40,'IN-12-11'!A41:D915,4)</f>
        <v>374.19</v>
      </c>
      <c r="F40" s="69">
        <f>(D40*E40)</f>
        <v>1496.76</v>
      </c>
    </row>
    <row r="41" spans="1:6" ht="12.75" hidden="1">
      <c r="A41" s="3" t="s">
        <v>51</v>
      </c>
      <c r="B41" s="4" t="str">
        <f>VLOOKUP(A41,Insumos,2)</f>
        <v>placard c/ptas. placas  incl. inter.c/ melamina</v>
      </c>
      <c r="C41" s="6" t="str">
        <f>VLOOKUP(A41,Insumos,3)</f>
        <v>u</v>
      </c>
      <c r="D41" s="51">
        <v>3</v>
      </c>
      <c r="E41" s="51">
        <f>VLOOKUP(A41,'IN-12-11'!A42:D916,4)</f>
        <v>1962.81</v>
      </c>
      <c r="F41" s="69">
        <f>(D41*E41)</f>
        <v>5888.43</v>
      </c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VLOOKUP(A43,'IN-12-11'!A44:D918,4)</f>
        <v>39.41</v>
      </c>
      <c r="F43" s="69">
        <f>(D43*E43)</f>
        <v>926.1349999999999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VLOOKUP(A45,'IN-12-11'!A46:D920,4)</f>
        <v>444.82</v>
      </c>
      <c r="F45" s="69">
        <f>(D45*E45)</f>
        <v>48.9302</v>
      </c>
    </row>
    <row r="46" ht="13.5" thickBot="1"/>
    <row r="47" spans="1:7" ht="13.5" thickTop="1">
      <c r="A47" s="75" t="s">
        <v>346</v>
      </c>
      <c r="B47" s="391" t="s">
        <v>353</v>
      </c>
      <c r="C47" s="77" t="str">
        <f>Fecha</f>
        <v>NOV/12</v>
      </c>
      <c r="D47" s="48"/>
      <c r="E47" s="48"/>
      <c r="F47" s="392">
        <f>SUM(F49:F54)</f>
        <v>75886.43909999999</v>
      </c>
      <c r="G47" s="41"/>
    </row>
    <row r="48" spans="1:7" ht="13.5" thickBot="1">
      <c r="A48" s="7" t="s">
        <v>345</v>
      </c>
      <c r="B48" s="7" t="s">
        <v>1752</v>
      </c>
      <c r="C48" s="78" t="s">
        <v>344</v>
      </c>
      <c r="D48" s="49" t="s">
        <v>354</v>
      </c>
      <c r="E48" s="50"/>
      <c r="F48" s="68"/>
      <c r="G48" s="42" t="s">
        <v>347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3" t="s">
        <v>1381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VLOOKUP(A50,'IN-12-11'!A51:D925,4)</f>
        <v>574.57</v>
      </c>
      <c r="F50" s="69">
        <f>(D50*E50)</f>
        <v>45626.6037</v>
      </c>
    </row>
    <row r="51" spans="1:6" ht="12.75">
      <c r="A51" s="82" t="s">
        <v>351</v>
      </c>
      <c r="D51" s="51"/>
      <c r="E51" s="51"/>
      <c r="F51" s="69"/>
    </row>
    <row r="52" spans="1:6" ht="12.75">
      <c r="A52" s="3" t="s">
        <v>1675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VLOOKUP(A52,'IN-12-11'!A53:D927,4)</f>
        <v>39.41</v>
      </c>
      <c r="F52" s="69">
        <f>(D52*E52)</f>
        <v>26816.9286</v>
      </c>
    </row>
    <row r="53" spans="1:6" ht="12.75">
      <c r="A53" s="82" t="s">
        <v>352</v>
      </c>
      <c r="D53" s="51"/>
      <c r="E53" s="51"/>
      <c r="F53" s="69"/>
    </row>
    <row r="54" spans="1:6" ht="12.75">
      <c r="A54" s="3" t="s">
        <v>1681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VLOOKUP(A54,'IN-12-11'!A55:D929,4)</f>
        <v>444.82</v>
      </c>
      <c r="F54" s="69">
        <f>(D54*E54)</f>
        <v>3442.9068</v>
      </c>
    </row>
    <row r="55" ht="13.5" thickBot="1"/>
    <row r="56" spans="1:7" ht="13.5" thickTop="1">
      <c r="A56" s="75" t="s">
        <v>346</v>
      </c>
      <c r="B56" s="391" t="s">
        <v>356</v>
      </c>
      <c r="C56" s="77" t="str">
        <f>Fecha</f>
        <v>NOV/12</v>
      </c>
      <c r="D56" s="48"/>
      <c r="E56" s="48"/>
      <c r="F56" s="392">
        <f>SUM(F58:F64)</f>
        <v>33180.818199999994</v>
      </c>
      <c r="G56" s="41"/>
    </row>
    <row r="57" spans="1:7" ht="13.5" thickBot="1">
      <c r="A57" s="7" t="s">
        <v>345</v>
      </c>
      <c r="B57" s="7" t="s">
        <v>1752</v>
      </c>
      <c r="C57" s="78" t="s">
        <v>344</v>
      </c>
      <c r="D57" s="49" t="s">
        <v>355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52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VLOOKUP(A59,'IN-12-11'!A58:D934,4)</f>
        <v>58.15</v>
      </c>
      <c r="F59" s="69">
        <f>(D59*E59)</f>
        <v>1007.158</v>
      </c>
    </row>
    <row r="60" spans="1:6" ht="12.75">
      <c r="A60" s="3" t="s">
        <v>1702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VLOOKUP(A60,'IN-12-11'!A59:D935,4)</f>
        <v>374.19</v>
      </c>
      <c r="F60" s="69">
        <f>(D60*E60)</f>
        <v>24629.185799999996</v>
      </c>
    </row>
    <row r="61" spans="1:6" ht="12.75">
      <c r="A61" s="82" t="s">
        <v>351</v>
      </c>
      <c r="D61" s="51"/>
      <c r="E61" s="51"/>
      <c r="F61" s="69"/>
    </row>
    <row r="62" spans="1:6" ht="12.75">
      <c r="A62" s="3" t="s">
        <v>1675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VLOOKUP(A62,'IN-12-11'!A63:D937,4)</f>
        <v>39.41</v>
      </c>
      <c r="F62" s="69">
        <f>(D62*E62)</f>
        <v>6605.9042</v>
      </c>
    </row>
    <row r="63" spans="1:6" ht="12.75">
      <c r="A63" s="82" t="s">
        <v>352</v>
      </c>
      <c r="D63" s="51"/>
      <c r="E63" s="51"/>
      <c r="F63" s="69"/>
    </row>
    <row r="64" spans="1:6" ht="12.75">
      <c r="A64" s="3" t="s">
        <v>1681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VLOOKUP(A64,'IN-12-11'!A65:D939,4)</f>
        <v>444.82</v>
      </c>
      <c r="F64" s="69">
        <f>(D64*E64)</f>
        <v>938.5701999999999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1880</v>
      </c>
      <c r="C2" s="77" t="str">
        <f>Fecha</f>
        <v>NOV/12</v>
      </c>
      <c r="D2" s="48"/>
      <c r="E2" s="48"/>
      <c r="F2" s="392">
        <f>SUM(F4:F11)</f>
        <v>1197.5683000000001</v>
      </c>
      <c r="G2" s="41"/>
    </row>
    <row r="3" spans="1:7" ht="13.5" thickBot="1">
      <c r="A3" s="7" t="s">
        <v>345</v>
      </c>
      <c r="B3" s="7" t="s">
        <v>1753</v>
      </c>
      <c r="C3" s="78" t="s">
        <v>344</v>
      </c>
      <c r="D3" s="49" t="s">
        <v>1916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2" t="s">
        <v>164</v>
      </c>
      <c r="B5" s="4" t="str">
        <f>VLOOKUP(A5,'IN-12-11'!$A$5:$D$441,2)</f>
        <v>medidor de agua</v>
      </c>
      <c r="C5" s="4" t="str">
        <f>VLOOKUP(A5,'IN-12-11'!$A$5:$D$441,3)</f>
        <v>u</v>
      </c>
      <c r="D5" s="51">
        <v>1</v>
      </c>
      <c r="E5" s="4">
        <f>VLOOKUP(A5,'IN-12-11'!$A$5:$D$441,4)</f>
        <v>259.74</v>
      </c>
      <c r="F5" s="69">
        <f>(D5*E5)</f>
        <v>259.74</v>
      </c>
    </row>
    <row r="6" spans="1:6" ht="12.75">
      <c r="A6" s="3" t="s">
        <v>1815</v>
      </c>
      <c r="B6" s="4" t="str">
        <f>VLOOKUP(A6,'IN-12-11'!$A$5:$D$441,2)</f>
        <v>kit medidor agua aprob. ASSA</v>
      </c>
      <c r="C6" s="4" t="str">
        <f>VLOOKUP(A6,'IN-12-11'!$A$5:$D$441,3)</f>
        <v>u</v>
      </c>
      <c r="D6" s="51">
        <v>1.55</v>
      </c>
      <c r="E6" s="4">
        <f>VLOOKUP(A6,'IN-12-11'!$A$5:$D$441,4)</f>
        <v>161.16</v>
      </c>
      <c r="F6" s="69">
        <f>(D6*E6)</f>
        <v>249.798</v>
      </c>
    </row>
    <row r="7" spans="1:6" ht="12.75">
      <c r="A7" s="3" t="s">
        <v>1816</v>
      </c>
      <c r="B7" s="4" t="str">
        <f>VLOOKUP(A7,'IN-12-11'!$A$5:$D$441,2)</f>
        <v>gabinete p/medidor agua aprobado ASSA</v>
      </c>
      <c r="C7" s="4" t="str">
        <f>VLOOKUP(A7,'IN-12-11'!$A$5:$D$441,3)</f>
        <v>u</v>
      </c>
      <c r="D7" s="51">
        <v>1</v>
      </c>
      <c r="E7" s="4">
        <f>VLOOKUP(A7,'IN-12-11'!$A$5:$D$441,4)</f>
        <v>107.4333</v>
      </c>
      <c r="F7" s="69">
        <f>(D7*E7)</f>
        <v>107.4333</v>
      </c>
    </row>
    <row r="8" spans="1:6" ht="12.75">
      <c r="A8" s="82" t="s">
        <v>351</v>
      </c>
      <c r="D8" s="51"/>
      <c r="E8" s="4"/>
      <c r="F8" s="69"/>
    </row>
    <row r="9" spans="1:6" ht="12.75">
      <c r="A9" s="3" t="s">
        <v>1707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VLOOKUP(A9,'IN-12-11'!$A$5:$D$441,4)</f>
        <v>45.8</v>
      </c>
      <c r="F9" s="69">
        <f>(D9*E9)</f>
        <v>549.5999999999999</v>
      </c>
    </row>
    <row r="10" spans="1:6" ht="12.75">
      <c r="A10" s="82" t="s">
        <v>352</v>
      </c>
      <c r="C10" s="6"/>
      <c r="D10" s="51"/>
      <c r="E10" s="4"/>
      <c r="F10" s="69"/>
    </row>
    <row r="11" spans="1:6" ht="12.75">
      <c r="A11" s="3" t="s">
        <v>1676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VLOOKUP(A11,'IN-12-11'!$A$5:$D$441,4)</f>
        <v>309.97</v>
      </c>
      <c r="F11" s="69">
        <f>(D11*E11)</f>
        <v>30.997000000000003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346</v>
      </c>
      <c r="B13" s="391" t="s">
        <v>1917</v>
      </c>
      <c r="C13" s="77" t="str">
        <f>Fecha</f>
        <v>NOV/12</v>
      </c>
      <c r="D13" s="48"/>
      <c r="E13" s="48"/>
      <c r="F13" s="392">
        <f>SUM(F15:F24)</f>
        <v>3026.32245</v>
      </c>
      <c r="G13" s="41"/>
    </row>
    <row r="14" spans="1:7" ht="13.5" thickBot="1">
      <c r="A14" s="7" t="s">
        <v>345</v>
      </c>
      <c r="B14" s="7" t="s">
        <v>1753</v>
      </c>
      <c r="C14" s="78" t="s">
        <v>344</v>
      </c>
      <c r="D14" s="49" t="s">
        <v>1918</v>
      </c>
      <c r="E14" s="50"/>
      <c r="F14" s="68"/>
      <c r="G14" s="42" t="s">
        <v>347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1704</v>
      </c>
      <c r="B16" s="4" t="str">
        <f>VLOOKUP(A16,'IN-12-11'!$A$5:$D$441,2)</f>
        <v>codo IPS 19 mm</v>
      </c>
      <c r="C16" s="4" t="str">
        <f>VLOOKUP(A16,'IN-12-11'!$A$5:$D$441,3)</f>
        <v>u</v>
      </c>
      <c r="D16" s="51">
        <v>45</v>
      </c>
      <c r="E16" s="4">
        <f>VLOOKUP(A16,'IN-12-11'!$A$5:$D$441,4)</f>
        <v>1.835</v>
      </c>
      <c r="F16" s="69">
        <f>(D16*E16)</f>
        <v>82.575</v>
      </c>
    </row>
    <row r="17" spans="1:6" ht="12.75">
      <c r="A17" s="3" t="s">
        <v>1705</v>
      </c>
      <c r="B17" s="4" t="str">
        <f>VLOOKUP(A17,'IN-12-11'!$A$5:$D$441,2)</f>
        <v>caño H-3 tricapa 19 mm</v>
      </c>
      <c r="C17" s="4" t="str">
        <f>VLOOKUP(A17,'IN-12-11'!$A$5:$D$441,3)</f>
        <v>m</v>
      </c>
      <c r="D17" s="51">
        <v>46.5</v>
      </c>
      <c r="E17" s="4">
        <f>VLOOKUP(A17,'IN-12-11'!$A$5:$D$441,4)</f>
        <v>12.2433</v>
      </c>
      <c r="F17" s="69">
        <f>(D17*E17)</f>
        <v>569.31345</v>
      </c>
    </row>
    <row r="18" spans="1:6" ht="12.75">
      <c r="A18" s="3" t="s">
        <v>1706</v>
      </c>
      <c r="B18" s="4" t="str">
        <f>VLOOKUP(A18,'IN-12-11'!$A$5:$D$441,2)</f>
        <v>llave de paso de bronce 0.019</v>
      </c>
      <c r="C18" s="4" t="str">
        <f>VLOOKUP(A18,'IN-12-11'!$A$5:$D$441,3)</f>
        <v>u</v>
      </c>
      <c r="D18" s="51">
        <v>6</v>
      </c>
      <c r="E18" s="4">
        <f>VLOOKUP(A18,'IN-12-11'!$A$5:$D$441,4)</f>
        <v>36.67</v>
      </c>
      <c r="F18" s="69">
        <f>(D18*E18)</f>
        <v>220.02</v>
      </c>
    </row>
    <row r="19" spans="1:6" ht="12.75">
      <c r="A19" s="3" t="s">
        <v>1408</v>
      </c>
      <c r="B19" s="4" t="str">
        <f>VLOOKUP(A19,'IN-12-11'!$A$5:$D$441,2)</f>
        <v>tanque de reserva 600 lts. PVC tricapa</v>
      </c>
      <c r="C19" s="4" t="str">
        <f>VLOOKUP(A19,'IN-12-11'!$A$5:$D$441,3)</f>
        <v>u</v>
      </c>
      <c r="D19" s="51">
        <v>1</v>
      </c>
      <c r="E19" s="4">
        <f>VLOOKUP(A19,'IN-12-11'!$A$5:$D$441,4)</f>
        <v>553.62</v>
      </c>
      <c r="F19" s="69">
        <f>(D19*E19)</f>
        <v>553.62</v>
      </c>
    </row>
    <row r="20" spans="1:6" ht="12.75">
      <c r="A20" s="3" t="s">
        <v>1814</v>
      </c>
      <c r="B20" s="4" t="str">
        <f>VLOOKUP(A20,'IN-12-11'!$A$5:$D$441,2)</f>
        <v>tee IPS 19 mm</v>
      </c>
      <c r="C20" s="4" t="str">
        <f>VLOOKUP(A20,'IN-12-11'!$A$5:$D$441,3)</f>
        <v>u</v>
      </c>
      <c r="D20" s="51">
        <v>30</v>
      </c>
      <c r="E20" s="4">
        <f>VLOOKUP(A20,'IN-12-11'!$A$5:$D$441,4)</f>
        <v>2.44</v>
      </c>
      <c r="F20" s="69">
        <f>(D20*E20)</f>
        <v>73.2</v>
      </c>
    </row>
    <row r="21" spans="1:6" ht="12.75">
      <c r="A21" s="82" t="s">
        <v>351</v>
      </c>
      <c r="D21" s="51"/>
      <c r="E21" s="4"/>
      <c r="F21" s="69"/>
    </row>
    <row r="22" spans="1:6" ht="12.75">
      <c r="A22" s="3" t="s">
        <v>1707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VLOOKUP(A22,'IN-12-11'!$A$5:$D$441,4)</f>
        <v>45.8</v>
      </c>
      <c r="F22" s="69">
        <f>(D22*E22)</f>
        <v>1465.6</v>
      </c>
    </row>
    <row r="23" spans="1:6" ht="12.75">
      <c r="A23" s="82" t="s">
        <v>352</v>
      </c>
      <c r="D23" s="51"/>
      <c r="E23" s="4"/>
      <c r="F23" s="69"/>
    </row>
    <row r="24" spans="1:6" ht="12.75">
      <c r="A24" s="3" t="s">
        <v>1676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VLOOKUP(A24,'IN-12-11'!$A$5:$D$441,4)</f>
        <v>309.97</v>
      </c>
      <c r="F24" s="69">
        <f>(D24*E24)</f>
        <v>61.99400000000001</v>
      </c>
    </row>
    <row r="25" ht="13.5" thickBot="1"/>
    <row r="26" spans="1:7" ht="13.5" thickTop="1">
      <c r="A26" s="75" t="s">
        <v>346</v>
      </c>
      <c r="B26" s="391" t="s">
        <v>1919</v>
      </c>
      <c r="C26" s="77" t="str">
        <f>Fecha</f>
        <v>NOV/12</v>
      </c>
      <c r="D26" s="48"/>
      <c r="E26" s="48"/>
      <c r="F26" s="392">
        <f>SUM(F28:F40)</f>
        <v>4223.89075</v>
      </c>
      <c r="G26" s="41"/>
    </row>
    <row r="27" spans="1:7" ht="13.5" thickBot="1">
      <c r="A27" s="7" t="s">
        <v>345</v>
      </c>
      <c r="B27" s="7" t="s">
        <v>1753</v>
      </c>
      <c r="C27" s="78" t="s">
        <v>344</v>
      </c>
      <c r="D27" s="49" t="s">
        <v>1881</v>
      </c>
      <c r="E27" s="50"/>
      <c r="F27" s="68"/>
      <c r="G27" s="42" t="s">
        <v>347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1704</v>
      </c>
      <c r="B29" s="4" t="str">
        <f>VLOOKUP(A29,'IN-12-11'!$A$5:$D$441,2)</f>
        <v>codo IPS 19 mm</v>
      </c>
      <c r="C29" s="4" t="str">
        <f>VLOOKUP(A29,'IN-12-11'!$A$5:$D$441,3)</f>
        <v>u</v>
      </c>
      <c r="D29" s="51">
        <v>45</v>
      </c>
      <c r="E29" s="4">
        <f>VLOOKUP(A29,'IN-12-11'!$A$5:$D$441,4)</f>
        <v>1.835</v>
      </c>
      <c r="F29" s="69">
        <f aca="true" t="shared" si="0" ref="F29:F36">(D29*E29)</f>
        <v>82.575</v>
      </c>
    </row>
    <row r="30" spans="1:6" ht="12.75">
      <c r="A30" s="3" t="s">
        <v>1705</v>
      </c>
      <c r="B30" s="4" t="str">
        <f>VLOOKUP(A30,'IN-12-11'!$A$5:$D$441,2)</f>
        <v>caño H-3 tricapa 19 mm</v>
      </c>
      <c r="C30" s="4" t="str">
        <f>VLOOKUP(A30,'IN-12-11'!$A$5:$D$441,3)</f>
        <v>m</v>
      </c>
      <c r="D30" s="51">
        <v>46.5</v>
      </c>
      <c r="E30" s="4">
        <f>VLOOKUP(A30,'IN-12-11'!$A$5:$D$441,4)</f>
        <v>12.2433</v>
      </c>
      <c r="F30" s="69">
        <f t="shared" si="0"/>
        <v>569.31345</v>
      </c>
    </row>
    <row r="31" spans="1:6" ht="15" customHeight="1">
      <c r="A31" s="3" t="s">
        <v>1706</v>
      </c>
      <c r="B31" s="4" t="str">
        <f>VLOOKUP(A31,'IN-12-11'!$A$5:$D$441,2)</f>
        <v>llave de paso de bronce 0.019</v>
      </c>
      <c r="C31" s="4" t="str">
        <f>VLOOKUP(A31,'IN-12-11'!$A$5:$D$441,3)</f>
        <v>u</v>
      </c>
      <c r="D31" s="51">
        <v>6</v>
      </c>
      <c r="E31" s="4">
        <f>VLOOKUP(A31,'IN-12-11'!$A$5:$D$441,4)</f>
        <v>36.67</v>
      </c>
      <c r="F31" s="69">
        <f t="shared" si="0"/>
        <v>220.02</v>
      </c>
    </row>
    <row r="32" spans="1:6" ht="12.75">
      <c r="A32" s="3" t="s">
        <v>1408</v>
      </c>
      <c r="B32" s="4" t="str">
        <f>VLOOKUP(A32,'IN-12-11'!$A$5:$D$441,2)</f>
        <v>tanque de reserva 600 lts. PVC tricapa</v>
      </c>
      <c r="C32" s="4" t="str">
        <f>VLOOKUP(A32,'IN-12-11'!$A$5:$D$441,3)</f>
        <v>u</v>
      </c>
      <c r="D32" s="51">
        <v>1</v>
      </c>
      <c r="E32" s="4">
        <f>VLOOKUP(A32,'IN-12-11'!$A$5:$D$441,4)</f>
        <v>553.62</v>
      </c>
      <c r="F32" s="69">
        <f t="shared" si="0"/>
        <v>553.62</v>
      </c>
    </row>
    <row r="33" spans="1:6" ht="12.75">
      <c r="A33" s="3" t="s">
        <v>1814</v>
      </c>
      <c r="B33" s="4" t="str">
        <f>VLOOKUP(A33,'IN-12-11'!$A$5:$D$441,2)</f>
        <v>tee IPS 19 mm</v>
      </c>
      <c r="C33" s="4" t="str">
        <f>VLOOKUP(A33,'IN-12-11'!$A$5:$D$441,3)</f>
        <v>u</v>
      </c>
      <c r="D33" s="51">
        <v>30</v>
      </c>
      <c r="E33" s="4">
        <f>VLOOKUP(A33,'IN-12-11'!$A$5:$D$441,4)</f>
        <v>2.44</v>
      </c>
      <c r="F33" s="69">
        <f t="shared" si="0"/>
        <v>73.2</v>
      </c>
    </row>
    <row r="34" spans="1:6" ht="12.75">
      <c r="A34" s="3" t="s">
        <v>1815</v>
      </c>
      <c r="B34" s="4" t="str">
        <f>VLOOKUP(A34,'IN-12-11'!$A$5:$D$441,2)</f>
        <v>kit medidor agua aprob. ASSA</v>
      </c>
      <c r="C34" s="4" t="str">
        <f>VLOOKUP(A34,'IN-12-11'!$A$5:$D$441,3)</f>
        <v>u</v>
      </c>
      <c r="D34" s="51">
        <v>1.55</v>
      </c>
      <c r="E34" s="4">
        <f>VLOOKUP(A34,'IN-12-11'!$A$5:$D$441,4)</f>
        <v>161.16</v>
      </c>
      <c r="F34" s="69">
        <f t="shared" si="0"/>
        <v>249.798</v>
      </c>
    </row>
    <row r="35" spans="1:6" ht="12.75">
      <c r="A35" s="3" t="s">
        <v>1816</v>
      </c>
      <c r="B35" s="4" t="str">
        <f>VLOOKUP(A35,'IN-12-11'!$A$5:$D$441,2)</f>
        <v>gabinete p/medidor agua aprobado ASSA</v>
      </c>
      <c r="C35" s="4" t="str">
        <f>VLOOKUP(A35,'IN-12-11'!$A$5:$D$441,3)</f>
        <v>u</v>
      </c>
      <c r="D35" s="51">
        <v>1</v>
      </c>
      <c r="E35" s="4">
        <f>VLOOKUP(A35,'IN-12-11'!$A$5:$D$441,4)</f>
        <v>107.4333</v>
      </c>
      <c r="F35" s="69">
        <f t="shared" si="0"/>
        <v>107.4333</v>
      </c>
    </row>
    <row r="36" spans="1:6" ht="12.75">
      <c r="A36" s="2" t="s">
        <v>164</v>
      </c>
      <c r="B36" s="4" t="str">
        <f>VLOOKUP(A36,'IN-12-11'!$A$5:$D$441,2)</f>
        <v>medidor de agua</v>
      </c>
      <c r="C36" s="4" t="str">
        <f>VLOOKUP(A36,'IN-12-11'!$A$5:$D$441,3)</f>
        <v>u</v>
      </c>
      <c r="D36" s="51">
        <v>1</v>
      </c>
      <c r="E36" s="4">
        <f>VLOOKUP(A36,'IN-12-11'!$A$5:$D$441,4)</f>
        <v>259.74</v>
      </c>
      <c r="F36" s="69">
        <f t="shared" si="0"/>
        <v>259.74</v>
      </c>
    </row>
    <row r="37" spans="1:6" ht="12.75">
      <c r="A37" s="82" t="s">
        <v>351</v>
      </c>
      <c r="D37" s="51"/>
      <c r="E37" s="4"/>
      <c r="F37" s="69"/>
    </row>
    <row r="38" spans="1:6" ht="12.75">
      <c r="A38" s="3" t="s">
        <v>1707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VLOOKUP(A38,'IN-12-11'!$A$5:$D$441,4)</f>
        <v>45.8</v>
      </c>
      <c r="F38" s="69">
        <f>(D38*E38)</f>
        <v>2015.1999999999998</v>
      </c>
    </row>
    <row r="39" spans="1:6" ht="12.75">
      <c r="A39" s="82" t="s">
        <v>352</v>
      </c>
      <c r="D39" s="51"/>
      <c r="E39" s="4"/>
      <c r="F39" s="69"/>
    </row>
    <row r="40" spans="1:6" ht="12.75">
      <c r="A40" s="3" t="s">
        <v>1676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VLOOKUP(A40,'IN-12-11'!$A$5:$D$441,4)</f>
        <v>309.97</v>
      </c>
      <c r="F40" s="69">
        <f>(D40*E40)</f>
        <v>92.991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391" t="s">
        <v>1754</v>
      </c>
      <c r="C42" s="77" t="str">
        <f>Fecha</f>
        <v>NOV/12</v>
      </c>
      <c r="D42" s="48"/>
      <c r="E42" s="48"/>
      <c r="F42" s="392">
        <f>SUM(F44:F54)</f>
        <v>13367.308687099998</v>
      </c>
      <c r="G42" s="41"/>
    </row>
    <row r="43" spans="1:7" ht="13.5" thickBot="1">
      <c r="A43" s="7" t="s">
        <v>345</v>
      </c>
      <c r="B43" s="7" t="s">
        <v>1753</v>
      </c>
      <c r="C43" s="78" t="s">
        <v>344</v>
      </c>
      <c r="D43" s="49" t="s">
        <v>357</v>
      </c>
      <c r="E43" s="50"/>
      <c r="F43" s="68"/>
      <c r="G43" s="42" t="s">
        <v>347</v>
      </c>
    </row>
    <row r="44" spans="1:6" ht="15.75" customHeight="1" thickTop="1">
      <c r="A44" s="82" t="s">
        <v>350</v>
      </c>
      <c r="D44" s="51"/>
      <c r="E44" s="51"/>
      <c r="F44" s="69"/>
    </row>
    <row r="45" spans="1:6" ht="12.75">
      <c r="A45" s="3" t="s">
        <v>1706</v>
      </c>
      <c r="B45" s="4" t="str">
        <f>VLOOKUP(A45,'IN-12-11'!$A$5:$D$441,2)</f>
        <v>llave de paso de bronce 0.019</v>
      </c>
      <c r="C45" s="4" t="str">
        <f>VLOOKUP(A45,'IN-12-11'!$A$5:$D$441,3)</f>
        <v>u</v>
      </c>
      <c r="D45" s="51">
        <v>18.493</v>
      </c>
      <c r="E45" s="4">
        <f>VLOOKUP(A45,'IN-12-11'!$A$5:$D$441,4)</f>
        <v>36.67</v>
      </c>
      <c r="F45" s="69">
        <f aca="true" t="shared" si="1" ref="F45:F50">(D45*E45)</f>
        <v>678.1383099999999</v>
      </c>
    </row>
    <row r="46" spans="1:6" ht="12.75">
      <c r="A46" s="3" t="s">
        <v>1704</v>
      </c>
      <c r="B46" s="4" t="str">
        <f>VLOOKUP(A46,'IN-12-11'!$A$5:$D$441,2)</f>
        <v>codo IPS 19 mm</v>
      </c>
      <c r="C46" s="4" t="str">
        <f>VLOOKUP(A46,'IN-12-11'!$A$5:$D$441,3)</f>
        <v>u</v>
      </c>
      <c r="D46" s="51">
        <v>191.596</v>
      </c>
      <c r="E46" s="4">
        <f>VLOOKUP(A46,'IN-12-11'!$A$5:$D$441,4)</f>
        <v>1.835</v>
      </c>
      <c r="F46" s="69">
        <f t="shared" si="1"/>
        <v>351.57866</v>
      </c>
    </row>
    <row r="47" spans="1:6" ht="12.75">
      <c r="A47" s="3" t="s">
        <v>1705</v>
      </c>
      <c r="B47" s="4" t="str">
        <f>VLOOKUP(A47,'IN-12-11'!$A$5:$D$441,2)</f>
        <v>caño H-3 tricapa 19 mm</v>
      </c>
      <c r="C47" s="4" t="str">
        <f>VLOOKUP(A47,'IN-12-11'!$A$5:$D$441,3)</f>
        <v>m</v>
      </c>
      <c r="D47" s="51">
        <v>276.287</v>
      </c>
      <c r="E47" s="4">
        <f>VLOOKUP(A47,'IN-12-11'!$A$5:$D$441,4)</f>
        <v>12.2433</v>
      </c>
      <c r="F47" s="69">
        <f t="shared" si="1"/>
        <v>3382.6646270999995</v>
      </c>
    </row>
    <row r="48" spans="1:6" ht="12.75">
      <c r="A48" s="3" t="s">
        <v>1818</v>
      </c>
      <c r="B48" s="4" t="str">
        <f>VLOOKUP(A48,'IN-12-11'!$A$5:$D$441,2)</f>
        <v>válvula exclusa bronce 25 mm</v>
      </c>
      <c r="C48" s="4" t="str">
        <f>VLOOKUP(A48,'IN-12-11'!$A$5:$D$441,3)</f>
        <v>u</v>
      </c>
      <c r="D48" s="51">
        <v>24.968</v>
      </c>
      <c r="E48" s="4">
        <f>VLOOKUP(A48,'IN-12-11'!$A$5:$D$441,4)</f>
        <v>55.35</v>
      </c>
      <c r="F48" s="69">
        <f t="shared" si="1"/>
        <v>1381.9788</v>
      </c>
    </row>
    <row r="49" spans="1:6" ht="12.75">
      <c r="A49" s="3" t="s">
        <v>1817</v>
      </c>
      <c r="B49" s="4" t="str">
        <f>VLOOKUP(A49,'IN-12-11'!$A$5:$D$441,2)</f>
        <v>caño H-3 tricapa 25 mm</v>
      </c>
      <c r="C49" s="4" t="str">
        <f>VLOOKUP(A49,'IN-12-11'!$A$5:$D$441,3)</f>
        <v>m</v>
      </c>
      <c r="D49" s="51">
        <v>20.826</v>
      </c>
      <c r="E49" s="4">
        <f>VLOOKUP(A49,'IN-12-11'!$A$5:$D$441,4)</f>
        <v>18.4</v>
      </c>
      <c r="F49" s="69">
        <f t="shared" si="1"/>
        <v>383.1984</v>
      </c>
    </row>
    <row r="50" spans="1:6" ht="12.75">
      <c r="A50" s="3" t="s">
        <v>1814</v>
      </c>
      <c r="B50" s="4" t="str">
        <f>VLOOKUP(A50,'IN-12-11'!$A$5:$D$441,2)</f>
        <v>tee IPS 19 mm</v>
      </c>
      <c r="C50" s="4" t="str">
        <f>VLOOKUP(A50,'IN-12-11'!$A$5:$D$441,3)</f>
        <v>u</v>
      </c>
      <c r="D50" s="51">
        <v>130.507</v>
      </c>
      <c r="E50" s="4">
        <f>VLOOKUP(A50,'IN-12-11'!$A$5:$D$441,4)</f>
        <v>2.44</v>
      </c>
      <c r="F50" s="69">
        <f t="shared" si="1"/>
        <v>318.43708</v>
      </c>
    </row>
    <row r="51" spans="1:6" ht="12.75">
      <c r="A51" s="82" t="s">
        <v>351</v>
      </c>
      <c r="D51" s="51"/>
      <c r="E51" s="4"/>
      <c r="F51" s="69"/>
    </row>
    <row r="52" spans="1:6" ht="12.75">
      <c r="A52" s="3" t="s">
        <v>1707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VLOOKUP(A52,'IN-12-11'!$A$5:$D$441,4)</f>
        <v>45.8</v>
      </c>
      <c r="F52" s="69">
        <f>(D52*E52)</f>
        <v>6613.107799999999</v>
      </c>
    </row>
    <row r="53" spans="1:6" ht="12.75">
      <c r="A53" s="82" t="s">
        <v>352</v>
      </c>
      <c r="D53" s="51"/>
      <c r="E53" s="4"/>
      <c r="F53" s="69"/>
    </row>
    <row r="54" spans="1:6" ht="12.75">
      <c r="A54" s="3" t="s">
        <v>1676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VLOOKUP(A54,'IN-12-11'!$A$5:$D$441,4)</f>
        <v>309.97</v>
      </c>
      <c r="F54" s="69">
        <f>(D54*E54)</f>
        <v>258.20501</v>
      </c>
    </row>
    <row r="55" ht="13.5" thickBot="1"/>
    <row r="56" spans="1:7" ht="13.5" thickTop="1">
      <c r="A56" s="75" t="s">
        <v>346</v>
      </c>
      <c r="B56" s="391" t="s">
        <v>1882</v>
      </c>
      <c r="C56" s="77" t="str">
        <f>Fecha</f>
        <v>NOV/12</v>
      </c>
      <c r="D56" s="48"/>
      <c r="E56" s="48"/>
      <c r="F56" s="392">
        <f>SUM(F58:F64)</f>
        <v>4368.004199999999</v>
      </c>
      <c r="G56" s="41"/>
    </row>
    <row r="57" spans="1:7" ht="13.5" thickBot="1">
      <c r="A57" s="7" t="s">
        <v>345</v>
      </c>
      <c r="B57" s="7" t="s">
        <v>1755</v>
      </c>
      <c r="C57" s="78" t="s">
        <v>344</v>
      </c>
      <c r="D57" s="49" t="s">
        <v>1940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1708</v>
      </c>
      <c r="B59" s="4" t="str">
        <f>VLOOKUP(A59,'IN-12-11'!$A$5:$D$441,2)</f>
        <v>juego llave y flor p/ducha cromada</v>
      </c>
      <c r="C59" s="4" t="str">
        <f>VLOOKUP(A59,'IN-12-11'!$A$5:$D$441,3)</f>
        <v>u</v>
      </c>
      <c r="D59" s="51">
        <v>4.65</v>
      </c>
      <c r="E59" s="4">
        <f>VLOOKUP(A59,'IN-12-11'!$A$5:$D$441,4)</f>
        <v>502.18</v>
      </c>
      <c r="F59" s="69">
        <f>(D59*E59)</f>
        <v>2335.137</v>
      </c>
    </row>
    <row r="60" spans="1:6" ht="12.75">
      <c r="A60" s="3" t="s">
        <v>1709</v>
      </c>
      <c r="B60" s="4" t="str">
        <f>VLOOKUP(A60,'IN-12-11'!$A$5:$D$441,2)</f>
        <v>inodoro sifónico losa</v>
      </c>
      <c r="C60" s="4" t="str">
        <f>VLOOKUP(A60,'IN-12-11'!$A$5:$D$441,3)</f>
        <v>u</v>
      </c>
      <c r="D60" s="51">
        <v>5.51</v>
      </c>
      <c r="E60" s="4">
        <f>VLOOKUP(A60,'IN-12-11'!$A$5:$D$441,4)</f>
        <v>241.32</v>
      </c>
      <c r="F60" s="69">
        <f>(D60*E60)</f>
        <v>1329.6732</v>
      </c>
    </row>
    <row r="61" spans="1:6" ht="12.75">
      <c r="A61" s="82" t="s">
        <v>351</v>
      </c>
      <c r="D61" s="51"/>
      <c r="E61" s="4"/>
      <c r="F61" s="69"/>
    </row>
    <row r="62" spans="1:6" ht="12.75">
      <c r="A62" s="3" t="s">
        <v>1707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VLOOKUP(A62,'IN-12-11'!$A$5:$D$441,4)</f>
        <v>45.8</v>
      </c>
      <c r="F62" s="69">
        <f>(D62*E62)</f>
        <v>641.1999999999999</v>
      </c>
    </row>
    <row r="63" spans="1:6" ht="12.75">
      <c r="A63" s="82" t="s">
        <v>352</v>
      </c>
      <c r="D63" s="51"/>
      <c r="E63" s="4"/>
      <c r="F63" s="69"/>
    </row>
    <row r="64" spans="1:6" ht="12.75">
      <c r="A64" s="3" t="s">
        <v>1676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VLOOKUP(A64,'IN-12-11'!$A$5:$D$441,4)</f>
        <v>309.97</v>
      </c>
      <c r="F64" s="69">
        <f>(D64*E64)</f>
        <v>61.99400000000001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391" t="s">
        <v>359</v>
      </c>
      <c r="C66" s="77" t="str">
        <f>Fecha</f>
        <v>NOV/12</v>
      </c>
      <c r="D66" s="48"/>
      <c r="E66" s="48"/>
      <c r="F66" s="392">
        <f>SUM(F68:F74)</f>
        <v>29173.20688</v>
      </c>
      <c r="G66" s="41"/>
    </row>
    <row r="67" spans="1:7" ht="13.5" thickBot="1">
      <c r="A67" s="7" t="s">
        <v>345</v>
      </c>
      <c r="B67" s="7" t="s">
        <v>1755</v>
      </c>
      <c r="C67" s="78" t="s">
        <v>344</v>
      </c>
      <c r="D67" s="49" t="s">
        <v>358</v>
      </c>
      <c r="E67" s="50"/>
      <c r="F67" s="68"/>
      <c r="G67" s="42" t="s">
        <v>347</v>
      </c>
    </row>
    <row r="68" spans="1:6" ht="13.5" thickTop="1">
      <c r="A68" s="82" t="s">
        <v>350</v>
      </c>
      <c r="D68" s="51"/>
      <c r="E68" s="51"/>
      <c r="F68" s="69"/>
    </row>
    <row r="69" spans="1:6" ht="12.75">
      <c r="A69" s="3" t="s">
        <v>1708</v>
      </c>
      <c r="B69" s="4" t="str">
        <f>VLOOKUP(A69,'IN-12-11'!$A$5:$D$441,2)</f>
        <v>juego llave y flor p/ducha cromada</v>
      </c>
      <c r="C69" s="4" t="str">
        <f>VLOOKUP(A69,'IN-12-11'!$A$5:$D$441,3)</f>
        <v>u</v>
      </c>
      <c r="D69" s="51">
        <v>34.798</v>
      </c>
      <c r="E69" s="4">
        <f>VLOOKUP(A69,'IN-12-11'!$A$5:$D$441,4)</f>
        <v>502.18</v>
      </c>
      <c r="F69" s="69">
        <f>(D69*E69)</f>
        <v>17474.859640000002</v>
      </c>
    </row>
    <row r="70" spans="1:6" ht="12.75">
      <c r="A70" s="3" t="s">
        <v>1709</v>
      </c>
      <c r="B70" s="4" t="str">
        <f>VLOOKUP(A70,'IN-12-11'!$A$5:$D$441,2)</f>
        <v>inodoro sifónico losa</v>
      </c>
      <c r="C70" s="4" t="str">
        <f>VLOOKUP(A70,'IN-12-11'!$A$5:$D$441,3)</f>
        <v>u</v>
      </c>
      <c r="D70" s="51">
        <v>32.95</v>
      </c>
      <c r="E70" s="4">
        <f>VLOOKUP(A70,'IN-12-11'!$A$5:$D$441,4)</f>
        <v>241.32</v>
      </c>
      <c r="F70" s="69">
        <f>(D70*E70)</f>
        <v>7951.494000000001</v>
      </c>
    </row>
    <row r="71" spans="1:6" ht="12.75">
      <c r="A71" s="82" t="s">
        <v>351</v>
      </c>
      <c r="D71" s="51"/>
      <c r="E71" s="4"/>
      <c r="F71" s="69"/>
    </row>
    <row r="72" spans="1:6" ht="12.75">
      <c r="A72" s="3" t="s">
        <v>1707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VLOOKUP(A72,'IN-12-11'!$A$5:$D$441,4)</f>
        <v>45.8</v>
      </c>
      <c r="F72" s="69">
        <f>(D72*E72)</f>
        <v>3123.1935999999996</v>
      </c>
    </row>
    <row r="73" spans="1:6" ht="12.75">
      <c r="A73" s="82" t="s">
        <v>352</v>
      </c>
      <c r="D73" s="51"/>
      <c r="E73" s="4"/>
      <c r="F73" s="69"/>
    </row>
    <row r="74" spans="1:6" ht="12.75">
      <c r="A74" s="3" t="s">
        <v>1676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VLOOKUP(A74,'IN-12-11'!$A$5:$D$441,4)</f>
        <v>309.97</v>
      </c>
      <c r="F74" s="69">
        <f>(D74*E74)</f>
        <v>623.6596400000001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346</v>
      </c>
      <c r="B76" s="391" t="s">
        <v>1926</v>
      </c>
      <c r="C76" s="77" t="str">
        <f>Fecha</f>
        <v>NOV/12</v>
      </c>
      <c r="D76" s="48"/>
      <c r="E76" s="48"/>
      <c r="F76" s="392">
        <f>SUM(F78:F86)</f>
        <v>4070.1727449</v>
      </c>
      <c r="G76" s="41"/>
    </row>
    <row r="77" spans="1:7" ht="13.5" thickBot="1">
      <c r="A77" s="7" t="s">
        <v>345</v>
      </c>
      <c r="B77" s="7" t="s">
        <v>1756</v>
      </c>
      <c r="C77" s="78" t="s">
        <v>344</v>
      </c>
      <c r="D77" s="49" t="s">
        <v>1945</v>
      </c>
      <c r="E77" s="50"/>
      <c r="F77" s="68"/>
      <c r="G77" s="42" t="s">
        <v>347</v>
      </c>
    </row>
    <row r="78" spans="1:6" ht="13.5" thickTop="1">
      <c r="A78" s="82" t="s">
        <v>350</v>
      </c>
      <c r="D78" s="51"/>
      <c r="E78" s="51"/>
      <c r="F78" s="69"/>
    </row>
    <row r="79" spans="1:6" ht="12.75">
      <c r="A79" s="3" t="s">
        <v>1711</v>
      </c>
      <c r="B79" s="4" t="str">
        <f>VLOOKUP(A79,'IN-12-11'!$A$5:$D$441,2)</f>
        <v>caño PVC 3.2 p/desague cloacal 0.110 x 4 m.</v>
      </c>
      <c r="C79" s="4" t="str">
        <f>VLOOKUP(A79,'IN-12-11'!$A$5:$D$441,3)</f>
        <v>m</v>
      </c>
      <c r="D79" s="51">
        <v>41.378</v>
      </c>
      <c r="E79" s="4">
        <f>VLOOKUP(A79,'IN-12-11'!$A$5:$D$441,4)</f>
        <v>35.9669</v>
      </c>
      <c r="F79" s="69">
        <f>(D79*E79)</f>
        <v>1488.2383882000001</v>
      </c>
    </row>
    <row r="80" spans="1:6" ht="12.75">
      <c r="A80" s="3" t="s">
        <v>1927</v>
      </c>
      <c r="B80" s="4" t="str">
        <f>VLOOKUP(A80,'IN-12-11'!$A$5:$D$441,2)</f>
        <v>caño PVC 3.2 p/desague cloacal 0.060 x 4 m.</v>
      </c>
      <c r="C80" s="4" t="str">
        <f>VLOOKUP(A80,'IN-12-11'!$A$5:$D$441,3)</f>
        <v>m</v>
      </c>
      <c r="D80" s="51">
        <v>9.558</v>
      </c>
      <c r="E80" s="4">
        <f>VLOOKUP(A80,'IN-12-11'!$A$5:$D$441,4)</f>
        <v>30.1055</v>
      </c>
      <c r="F80" s="69">
        <f>(D80*E80)</f>
        <v>287.74836899999997</v>
      </c>
    </row>
    <row r="81" spans="1:6" ht="12.75">
      <c r="A81" s="3" t="s">
        <v>1928</v>
      </c>
      <c r="B81" s="4" t="str">
        <f>VLOOKUP(A81,'IN-12-11'!$A$5:$D$441,2)</f>
        <v>ramal Y PVC 0.110x0.63</v>
      </c>
      <c r="C81" s="4" t="str">
        <f>VLOOKUP(A81,'IN-12-11'!$A$5:$D$441,3)</f>
        <v>u</v>
      </c>
      <c r="D81" s="51">
        <v>19.931</v>
      </c>
      <c r="E81" s="4">
        <f>VLOOKUP(A81,'IN-12-11'!$A$5:$D$441,4)</f>
        <v>16.6967</v>
      </c>
      <c r="F81" s="69">
        <f>(D81*E81)</f>
        <v>332.78192770000004</v>
      </c>
    </row>
    <row r="82" spans="1:6" ht="12.75">
      <c r="A82" s="3" t="s">
        <v>1678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VLOOKUP(A82,'IN-12-11'!$A$5:$D$441,4)</f>
        <v>0.92</v>
      </c>
      <c r="F82" s="69">
        <f>(D82*E82)</f>
        <v>82.90856</v>
      </c>
    </row>
    <row r="83" spans="1:6" ht="12.75">
      <c r="A83" s="82" t="s">
        <v>351</v>
      </c>
      <c r="D83" s="51"/>
      <c r="E83" s="4"/>
      <c r="F83" s="69"/>
    </row>
    <row r="84" spans="1:6" ht="12.75">
      <c r="A84" s="3" t="s">
        <v>1707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VLOOKUP(A84,'IN-12-11'!$A$5:$D$441,4)</f>
        <v>45.8</v>
      </c>
      <c r="F84" s="69">
        <f>(D84*E84)</f>
        <v>1832</v>
      </c>
    </row>
    <row r="85" spans="1:6" ht="12.75">
      <c r="A85" s="82" t="s">
        <v>352</v>
      </c>
      <c r="D85" s="51"/>
      <c r="E85" s="4"/>
      <c r="F85" s="69"/>
    </row>
    <row r="86" spans="1:6" ht="12.75">
      <c r="A86" s="3" t="s">
        <v>1676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VLOOKUP(A86,'IN-12-11'!$A$5:$D$441,4)</f>
        <v>309.97</v>
      </c>
      <c r="F86" s="69">
        <f>(D86*E86)</f>
        <v>46.4955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346</v>
      </c>
      <c r="B88" s="391" t="s">
        <v>1920</v>
      </c>
      <c r="C88" s="77" t="str">
        <f>Fecha</f>
        <v>NOV/12</v>
      </c>
      <c r="D88" s="48"/>
      <c r="E88" s="48"/>
      <c r="F88" s="392">
        <f>SUM(F90:F98)</f>
        <v>5245.7297443</v>
      </c>
      <c r="G88" s="41"/>
    </row>
    <row r="89" spans="1:7" ht="13.5" thickBot="1">
      <c r="A89" s="7" t="s">
        <v>345</v>
      </c>
      <c r="B89" s="7" t="s">
        <v>1756</v>
      </c>
      <c r="C89" s="78" t="s">
        <v>344</v>
      </c>
      <c r="D89" s="49" t="s">
        <v>1946</v>
      </c>
      <c r="E89" s="50"/>
      <c r="F89" s="68"/>
      <c r="G89" s="42" t="s">
        <v>347</v>
      </c>
    </row>
    <row r="90" spans="1:6" ht="13.5" thickTop="1">
      <c r="A90" s="82" t="s">
        <v>350</v>
      </c>
      <c r="D90" s="51"/>
      <c r="E90" s="51"/>
      <c r="F90" s="69"/>
    </row>
    <row r="91" spans="1:6" ht="12.75">
      <c r="A91" s="3" t="s">
        <v>1711</v>
      </c>
      <c r="B91" s="4" t="str">
        <f>VLOOKUP(A91,'IN-12-11'!$A$5:$D$441,2)</f>
        <v>caño PVC 3.2 p/desague cloacal 0.110 x 4 m.</v>
      </c>
      <c r="C91" s="4" t="str">
        <f>VLOOKUP(A91,'IN-12-11'!$A$5:$D$441,3)</f>
        <v>m</v>
      </c>
      <c r="D91" s="51">
        <v>55.804</v>
      </c>
      <c r="E91" s="4">
        <f>VLOOKUP(A91,'IN-12-11'!$A$5:$D$441,4)</f>
        <v>35.9669</v>
      </c>
      <c r="F91" s="69">
        <f>(D91*E91)</f>
        <v>2007.0968876000002</v>
      </c>
    </row>
    <row r="92" spans="1:6" ht="12.75">
      <c r="A92" s="3" t="s">
        <v>1927</v>
      </c>
      <c r="B92" s="4" t="str">
        <f>VLOOKUP(A92,'IN-12-11'!$A$5:$D$441,2)</f>
        <v>caño PVC 3.2 p/desague cloacal 0.060 x 4 m.</v>
      </c>
      <c r="C92" s="4" t="str">
        <f>VLOOKUP(A92,'IN-12-11'!$A$5:$D$441,3)</f>
        <v>m</v>
      </c>
      <c r="D92" s="51">
        <v>9.558</v>
      </c>
      <c r="E92" s="4">
        <f>VLOOKUP(A92,'IN-12-11'!$A$5:$D$441,4)</f>
        <v>30.1055</v>
      </c>
      <c r="F92" s="69">
        <f>(D92*E92)</f>
        <v>287.74836899999997</v>
      </c>
    </row>
    <row r="93" spans="1:6" ht="12.75">
      <c r="A93" s="3" t="s">
        <v>1928</v>
      </c>
      <c r="B93" s="4" t="str">
        <f>VLOOKUP(A93,'IN-12-11'!$A$5:$D$441,2)</f>
        <v>ramal Y PVC 0.110x0.63</v>
      </c>
      <c r="C93" s="4" t="str">
        <f>VLOOKUP(A93,'IN-12-11'!$A$5:$D$441,3)</f>
        <v>u</v>
      </c>
      <c r="D93" s="51">
        <v>19.931</v>
      </c>
      <c r="E93" s="4">
        <f>VLOOKUP(A93,'IN-12-11'!$A$5:$D$441,4)</f>
        <v>16.6967</v>
      </c>
      <c r="F93" s="69">
        <f>(D93*E93)</f>
        <v>332.78192770000004</v>
      </c>
    </row>
    <row r="94" spans="1:6" ht="12.75">
      <c r="A94" s="3" t="s">
        <v>1678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VLOOKUP(A94,'IN-12-11'!$A$5:$D$441,4)</f>
        <v>0.92</v>
      </c>
      <c r="F94" s="69">
        <f>(D94*E94)</f>
        <v>82.90856</v>
      </c>
    </row>
    <row r="95" spans="1:6" ht="12.75">
      <c r="A95" s="82" t="s">
        <v>351</v>
      </c>
      <c r="C95" s="6"/>
      <c r="D95" s="51"/>
      <c r="E95" s="4"/>
      <c r="F95" s="69"/>
    </row>
    <row r="96" spans="1:6" ht="12.75">
      <c r="A96" s="3" t="s">
        <v>1707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VLOOKUP(A96,'IN-12-11'!$A$5:$D$441,4)</f>
        <v>45.8</v>
      </c>
      <c r="F96" s="69">
        <f>(D96*E96)</f>
        <v>2473.2</v>
      </c>
    </row>
    <row r="97" spans="1:6" ht="12.75">
      <c r="A97" s="82" t="s">
        <v>352</v>
      </c>
      <c r="D97" s="51"/>
      <c r="E97" s="4"/>
      <c r="F97" s="69"/>
    </row>
    <row r="98" spans="1:6" ht="12.75">
      <c r="A98" s="3" t="s">
        <v>1676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VLOOKUP(A98,'IN-12-11'!$A$5:$D$441,4)</f>
        <v>309.97</v>
      </c>
      <c r="F98" s="69">
        <f>(D98*E98)</f>
        <v>61.99400000000001</v>
      </c>
    </row>
    <row r="99" ht="13.5" thickBot="1"/>
    <row r="100" spans="1:7" ht="13.5" thickTop="1">
      <c r="A100" s="75" t="s">
        <v>346</v>
      </c>
      <c r="B100" s="391" t="s">
        <v>181</v>
      </c>
      <c r="C100" s="77" t="str">
        <f>Fecha</f>
        <v>NOV/12</v>
      </c>
      <c r="D100" s="48"/>
      <c r="E100" s="48"/>
      <c r="F100" s="392">
        <f>SUM(F102:F107)</f>
        <v>1175.5569994</v>
      </c>
      <c r="G100" s="41"/>
    </row>
    <row r="101" spans="1:7" ht="13.5" thickBot="1">
      <c r="A101" s="7" t="s">
        <v>345</v>
      </c>
      <c r="B101" s="7" t="s">
        <v>1756</v>
      </c>
      <c r="C101" s="78" t="s">
        <v>344</v>
      </c>
      <c r="D101" s="49" t="s">
        <v>19</v>
      </c>
      <c r="E101" s="50"/>
      <c r="F101" s="68"/>
      <c r="G101" s="42" t="s">
        <v>347</v>
      </c>
    </row>
    <row r="102" spans="1:6" ht="13.5" thickTop="1">
      <c r="A102" s="82" t="s">
        <v>350</v>
      </c>
      <c r="D102" s="51"/>
      <c r="E102" s="51"/>
      <c r="F102" s="69"/>
    </row>
    <row r="103" spans="1:6" ht="12.75">
      <c r="A103" s="3" t="s">
        <v>1711</v>
      </c>
      <c r="B103" s="4" t="str">
        <f>VLOOKUP(A103,'IN-12-11'!$A$5:$D$441,2)</f>
        <v>caño PVC 3.2 p/desague cloacal 0.110 x 4 m.</v>
      </c>
      <c r="C103" s="4" t="str">
        <f>VLOOKUP(A103,'IN-12-11'!$A$5:$D$441,3)</f>
        <v>m</v>
      </c>
      <c r="D103" s="51">
        <v>14.426</v>
      </c>
      <c r="E103" s="4">
        <f>VLOOKUP(A103,'IN-12-11'!$A$5:$D$441,4)</f>
        <v>35.9669</v>
      </c>
      <c r="F103" s="69">
        <f>(D103*E103)</f>
        <v>518.8584994</v>
      </c>
    </row>
    <row r="104" spans="1:6" ht="12.75">
      <c r="A104" s="82" t="s">
        <v>351</v>
      </c>
      <c r="D104" s="51"/>
      <c r="E104" s="4"/>
      <c r="F104" s="69"/>
    </row>
    <row r="105" spans="1:6" ht="12.75">
      <c r="A105" s="3" t="s">
        <v>1707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VLOOKUP(A105,'IN-12-11'!$A$5:$D$441,4)</f>
        <v>45.8</v>
      </c>
      <c r="F105" s="69">
        <f>(D105*E105)</f>
        <v>641.1999999999999</v>
      </c>
    </row>
    <row r="106" spans="1:6" ht="12.75">
      <c r="A106" s="82" t="s">
        <v>352</v>
      </c>
      <c r="D106" s="51"/>
      <c r="E106" s="4"/>
      <c r="F106" s="69"/>
    </row>
    <row r="107" spans="1:6" ht="12.75">
      <c r="A107" s="3" t="s">
        <v>1676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VLOOKUP(A107,'IN-12-11'!$A$5:$D$441,4)</f>
        <v>309.97</v>
      </c>
      <c r="F107" s="69">
        <f>(D107*E107)</f>
        <v>15.498500000000002</v>
      </c>
    </row>
    <row r="108" ht="13.5" thickBot="1"/>
    <row r="109" spans="1:7" ht="13.5" thickTop="1">
      <c r="A109" s="75" t="s">
        <v>346</v>
      </c>
      <c r="B109" s="391" t="s">
        <v>329</v>
      </c>
      <c r="C109" s="77" t="str">
        <f>Fecha</f>
        <v>NOV/12</v>
      </c>
      <c r="D109" s="48"/>
      <c r="E109" s="48"/>
      <c r="F109" s="392">
        <f>SUM(F111:F119)</f>
        <v>7559.657115000001</v>
      </c>
      <c r="G109" s="41"/>
    </row>
    <row r="110" spans="1:7" ht="13.5" thickBot="1">
      <c r="A110" s="7" t="s">
        <v>345</v>
      </c>
      <c r="B110" s="7" t="s">
        <v>1756</v>
      </c>
      <c r="C110" s="78" t="s">
        <v>344</v>
      </c>
      <c r="D110" s="49" t="s">
        <v>330</v>
      </c>
      <c r="E110" s="50"/>
      <c r="F110" s="68"/>
      <c r="G110" s="42" t="s">
        <v>347</v>
      </c>
    </row>
    <row r="111" spans="1:6" ht="13.5" thickTop="1">
      <c r="A111" s="82" t="s">
        <v>350</v>
      </c>
      <c r="D111" s="51"/>
      <c r="E111" s="51"/>
      <c r="F111" s="69"/>
    </row>
    <row r="112" spans="1:6" ht="12.75">
      <c r="A112" s="3" t="s">
        <v>1711</v>
      </c>
      <c r="B112" s="4" t="str">
        <f>VLOOKUP(A112,'IN-12-11'!$A$5:$D$441,2)</f>
        <v>caño PVC 3.2 p/desague cloacal 0.110 x 4 m.</v>
      </c>
      <c r="C112" s="4" t="str">
        <f>VLOOKUP(A112,'IN-12-11'!$A$5:$D$441,3)</f>
        <v>m</v>
      </c>
      <c r="D112" s="51">
        <v>11.35</v>
      </c>
      <c r="E112" s="4">
        <f>VLOOKUP(A112,'IN-12-11'!$A$5:$D$441,4)</f>
        <v>35.9669</v>
      </c>
      <c r="F112" s="69">
        <f>(D112*E112)</f>
        <v>408.224315</v>
      </c>
    </row>
    <row r="113" spans="1:6" ht="12.75">
      <c r="A113" s="3" t="s">
        <v>1678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VLOOKUP(A113,'IN-12-11'!$A$5:$D$441,4)</f>
        <v>0.92</v>
      </c>
      <c r="F113" s="69">
        <f>(D113*E113)</f>
        <v>1744.3200000000002</v>
      </c>
    </row>
    <row r="114" spans="1:6" ht="12.75">
      <c r="A114" s="3" t="s">
        <v>1690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VLOOKUP(A114,'IN-12-11'!$A$5:$D$441,4)</f>
        <v>97.34</v>
      </c>
      <c r="F114" s="69">
        <f>(D114*E114)</f>
        <v>615.1888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351</v>
      </c>
      <c r="D116" s="51"/>
      <c r="E116" s="4"/>
      <c r="F116" s="69"/>
    </row>
    <row r="117" spans="1:6" ht="12.75">
      <c r="A117" s="3" t="s">
        <v>1707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VLOOKUP(A117,'IN-12-11'!$A$5:$D$441,4)</f>
        <v>45.8</v>
      </c>
      <c r="F117" s="69">
        <f>(D117*E117)</f>
        <v>4667.936000000001</v>
      </c>
    </row>
    <row r="118" spans="1:6" ht="12.75">
      <c r="A118" s="82" t="s">
        <v>352</v>
      </c>
      <c r="D118" s="51"/>
      <c r="E118" s="4"/>
      <c r="F118" s="69"/>
    </row>
    <row r="119" spans="1:6" ht="12.75">
      <c r="A119" s="3" t="s">
        <v>1676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VLOOKUP(A119,'IN-12-11'!$A$5:$D$441,4)</f>
        <v>309.97</v>
      </c>
      <c r="F119" s="69">
        <f>(D119*E119)</f>
        <v>123.98800000000001</v>
      </c>
    </row>
    <row r="120" ht="13.5" thickBot="1"/>
    <row r="121" spans="1:7" ht="13.5" thickTop="1">
      <c r="A121" s="75" t="s">
        <v>346</v>
      </c>
      <c r="B121" s="391" t="s">
        <v>360</v>
      </c>
      <c r="C121" s="77" t="str">
        <f>Fecha</f>
        <v>NOV/12</v>
      </c>
      <c r="D121" s="48"/>
      <c r="E121" s="48"/>
      <c r="F121" s="392">
        <f>SUM(F123:F131)</f>
        <v>13209.585542499999</v>
      </c>
      <c r="G121" s="41"/>
    </row>
    <row r="122" spans="1:7" ht="13.5" thickBot="1">
      <c r="A122" s="7" t="s">
        <v>345</v>
      </c>
      <c r="B122" s="7" t="s">
        <v>1756</v>
      </c>
      <c r="C122" s="78" t="s">
        <v>344</v>
      </c>
      <c r="D122" s="49" t="s">
        <v>361</v>
      </c>
      <c r="E122" s="50"/>
      <c r="F122" s="68"/>
      <c r="G122" s="42" t="s">
        <v>347</v>
      </c>
    </row>
    <row r="123" spans="1:6" ht="13.5" thickTop="1">
      <c r="A123" s="82" t="s">
        <v>350</v>
      </c>
      <c r="D123" s="51"/>
      <c r="E123" s="51"/>
      <c r="F123" s="69"/>
    </row>
    <row r="124" spans="1:6" ht="12.75">
      <c r="A124" s="3" t="s">
        <v>1711</v>
      </c>
      <c r="B124" s="4" t="str">
        <f>VLOOKUP(A124,'IN-12-11'!$A$5:$D$441,2)</f>
        <v>caño PVC 3.2 p/desague cloacal 0.110 x 4 m.</v>
      </c>
      <c r="C124" s="4" t="str">
        <f>VLOOKUP(A124,'IN-12-11'!$A$5:$D$441,3)</f>
        <v>m</v>
      </c>
      <c r="D124" s="51">
        <v>115.52</v>
      </c>
      <c r="E124" s="4">
        <f>VLOOKUP(A124,'IN-12-11'!$A$5:$D$441,4)</f>
        <v>35.9669</v>
      </c>
      <c r="F124" s="69">
        <f>(D124*E124)</f>
        <v>4154.896288</v>
      </c>
    </row>
    <row r="125" spans="1:6" ht="12.75">
      <c r="A125" s="3" t="s">
        <v>1927</v>
      </c>
      <c r="B125" s="4" t="str">
        <f>VLOOKUP(A125,'IN-12-11'!$A$5:$D$441,2)</f>
        <v>caño PVC 3.2 p/desague cloacal 0.060 x 4 m.</v>
      </c>
      <c r="C125" s="4" t="str">
        <f>VLOOKUP(A125,'IN-12-11'!$A$5:$D$441,3)</f>
        <v>m</v>
      </c>
      <c r="D125" s="51">
        <v>22.387</v>
      </c>
      <c r="E125" s="4">
        <f>VLOOKUP(A125,'IN-12-11'!$A$5:$D$441,4)</f>
        <v>30.1055</v>
      </c>
      <c r="F125" s="69">
        <f>(D125*E125)</f>
        <v>673.9718285</v>
      </c>
    </row>
    <row r="126" spans="1:6" ht="12.75">
      <c r="A126" s="3" t="s">
        <v>1928</v>
      </c>
      <c r="B126" s="4" t="str">
        <f>VLOOKUP(A126,'IN-12-11'!$A$5:$D$441,2)</f>
        <v>ramal Y PVC 0.110x0.63</v>
      </c>
      <c r="C126" s="4" t="str">
        <f>VLOOKUP(A126,'IN-12-11'!$A$5:$D$441,3)</f>
        <v>u</v>
      </c>
      <c r="D126" s="51">
        <v>147.78</v>
      </c>
      <c r="E126" s="4">
        <f>VLOOKUP(A126,'IN-12-11'!$A$5:$D$441,4)</f>
        <v>16.6967</v>
      </c>
      <c r="F126" s="69">
        <f>(D126*E126)</f>
        <v>2467.438326</v>
      </c>
    </row>
    <row r="127" spans="1:6" ht="12.75">
      <c r="A127" s="3" t="s">
        <v>1678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VLOOKUP(A127,'IN-12-11'!$A$5:$D$441,4)</f>
        <v>0.92</v>
      </c>
      <c r="F127" s="69">
        <f>(D127*E127)</f>
        <v>57.89284</v>
      </c>
    </row>
    <row r="128" spans="1:6" ht="12.75">
      <c r="A128" s="82" t="s">
        <v>351</v>
      </c>
      <c r="D128" s="51"/>
      <c r="E128" s="4"/>
      <c r="F128" s="69"/>
    </row>
    <row r="129" spans="1:6" ht="12.75">
      <c r="A129" s="3" t="s">
        <v>1707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VLOOKUP(A129,'IN-12-11'!$A$5:$D$441,4)</f>
        <v>45.8</v>
      </c>
      <c r="F129" s="69">
        <f>(D129*E129)</f>
        <v>5589.432</v>
      </c>
    </row>
    <row r="130" spans="1:6" ht="12.75">
      <c r="A130" s="82" t="s">
        <v>352</v>
      </c>
      <c r="D130" s="51"/>
      <c r="E130" s="4"/>
      <c r="F130" s="69"/>
    </row>
    <row r="131" spans="1:6" ht="12.75">
      <c r="A131" s="3" t="s">
        <v>1676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VLOOKUP(A131,'IN-12-11'!$A$5:$D$441,4)</f>
        <v>309.97</v>
      </c>
      <c r="F131" s="69">
        <f>(D131*E131)</f>
        <v>265.95426000000003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36">
      <selection activeCell="E74" sqref="E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1758</v>
      </c>
      <c r="C2" s="77" t="str">
        <f>Fecha</f>
        <v>NOV/12</v>
      </c>
      <c r="D2" s="48"/>
      <c r="E2" s="48"/>
      <c r="F2" s="392">
        <f>SUM(F4:F13)</f>
        <v>3593.809148</v>
      </c>
      <c r="G2" s="41"/>
    </row>
    <row r="3" spans="1:7" ht="13.5" thickBot="1">
      <c r="A3" s="7" t="s">
        <v>345</v>
      </c>
      <c r="B3" s="7" t="s">
        <v>1757</v>
      </c>
      <c r="C3" s="78" t="s">
        <v>344</v>
      </c>
      <c r="D3" s="49" t="s">
        <v>1947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VLOOKUP(A5,'IN-12-11'!A6:D880,4)</f>
        <v>23.7833</v>
      </c>
      <c r="F5" s="69">
        <f>(D5*E5)</f>
        <v>137.229641</v>
      </c>
    </row>
    <row r="6" spans="1:6" ht="12.75">
      <c r="A6" s="3" t="s">
        <v>1809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VLOOKUP(A6,'IN-12-11'!A7:D881,4)</f>
        <v>7.6867</v>
      </c>
      <c r="F6" s="69">
        <f>(D6*E6)</f>
        <v>227.06511799999998</v>
      </c>
    </row>
    <row r="7" spans="1:6" ht="12.75">
      <c r="A7" s="3" t="s">
        <v>1808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VLOOKUP(A7,'IN-12-11'!A8:D882,4)</f>
        <v>34.81</v>
      </c>
      <c r="F7" s="69">
        <f>(D7*E7)</f>
        <v>647.4660000000001</v>
      </c>
    </row>
    <row r="8" spans="1:6" ht="12.75">
      <c r="A8" s="3" t="s">
        <v>1712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VLOOKUP(A8,'IN-12-11'!A9:D883,4)</f>
        <v>70.4333</v>
      </c>
      <c r="F8" s="69">
        <f>(D8*E8)</f>
        <v>234.542889</v>
      </c>
    </row>
    <row r="9" spans="1:6" ht="12.75">
      <c r="A9" s="3" t="s">
        <v>146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VLOOKUP(A9,'IN-12-11'!A10:D884,4)</f>
        <v>194.21</v>
      </c>
      <c r="F9" s="69">
        <f>(D9*E9)</f>
        <v>194.21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1707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VLOOKUP(A11,'IN-12-11'!A12:D886,4)</f>
        <v>45.8</v>
      </c>
      <c r="F11" s="69">
        <f>(D11*E11)</f>
        <v>2106.7999999999997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309.97</v>
      </c>
      <c r="F13" s="69">
        <f>(D13*E13)</f>
        <v>46.4955</v>
      </c>
    </row>
    <row r="14" ht="13.5" thickBot="1"/>
    <row r="15" spans="1:7" ht="13.5" thickTop="1">
      <c r="A15" s="75" t="s">
        <v>346</v>
      </c>
      <c r="B15" s="391" t="s">
        <v>1883</v>
      </c>
      <c r="C15" s="77" t="str">
        <f>Fecha</f>
        <v>NOV/12</v>
      </c>
      <c r="D15" s="48"/>
      <c r="E15" s="48"/>
      <c r="F15" s="392">
        <f>SUM(F17:F28)</f>
        <v>4214.901919999999</v>
      </c>
      <c r="G15" s="41"/>
    </row>
    <row r="16" spans="1:7" ht="13.5" thickBot="1">
      <c r="A16" s="7" t="s">
        <v>345</v>
      </c>
      <c r="B16" s="7" t="s">
        <v>1757</v>
      </c>
      <c r="C16" s="78" t="s">
        <v>344</v>
      </c>
      <c r="D16" s="49" t="s">
        <v>1956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1929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VLOOKUP(A18,'IN-12-11'!A19:D893,4)</f>
        <v>46.9933</v>
      </c>
      <c r="F18" s="69">
        <f aca="true" t="shared" si="2" ref="F18:F24">(D18*E18)</f>
        <v>225.56784</v>
      </c>
    </row>
    <row r="19" spans="1:6" ht="12.75">
      <c r="A19" s="3" t="s">
        <v>1809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VLOOKUP(A19,'IN-12-11'!A20:D894,4)</f>
        <v>7.6867</v>
      </c>
      <c r="F19" s="69">
        <f t="shared" si="2"/>
        <v>219.07095</v>
      </c>
    </row>
    <row r="20" spans="1:6" ht="12.75">
      <c r="A20" s="3" t="s">
        <v>1808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VLOOKUP(A20,'IN-12-11'!A21:D895,4)</f>
        <v>34.81</v>
      </c>
      <c r="F20" s="69">
        <f t="shared" si="2"/>
        <v>891.1360000000001</v>
      </c>
    </row>
    <row r="21" spans="1:6" ht="12.75">
      <c r="A21" s="3" t="s">
        <v>1713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VLOOKUP(A21,'IN-12-11'!A22:D896,4)</f>
        <v>150.55</v>
      </c>
      <c r="F21" s="69">
        <f t="shared" si="2"/>
        <v>150.55</v>
      </c>
    </row>
    <row r="22" spans="1:6" ht="12.75">
      <c r="A22" s="3" t="s">
        <v>146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VLOOKUP(A22,'IN-12-11'!A23:D897,4)</f>
        <v>194.21</v>
      </c>
      <c r="F22" s="69">
        <f t="shared" si="2"/>
        <v>194.21</v>
      </c>
    </row>
    <row r="23" spans="1:6" ht="12.75">
      <c r="A23" s="3" t="s">
        <v>1712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VLOOKUP(A23,'IN-12-11'!A24:D898,4)</f>
        <v>70.4333</v>
      </c>
      <c r="F23" s="69">
        <f t="shared" si="2"/>
        <v>234.542889</v>
      </c>
    </row>
    <row r="24" spans="1:6" ht="12.75">
      <c r="A24" s="3" t="s">
        <v>1714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VLOOKUP(A24,'IN-12-11'!A25:D899,4)</f>
        <v>23.7833</v>
      </c>
      <c r="F24" s="69">
        <f t="shared" si="2"/>
        <v>137.229641</v>
      </c>
    </row>
    <row r="25" spans="1:6" ht="12.75">
      <c r="A25" s="82" t="s">
        <v>351</v>
      </c>
      <c r="D25" s="51"/>
      <c r="E25" s="51"/>
      <c r="F25" s="69"/>
    </row>
    <row r="26" spans="1:6" ht="12.75">
      <c r="A26" s="3" t="s">
        <v>1707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VLOOKUP(A26,'IN-12-11'!A27:D901,4)</f>
        <v>45.8</v>
      </c>
      <c r="F26" s="69">
        <f>(D26*E26)</f>
        <v>2106.7999999999997</v>
      </c>
    </row>
    <row r="27" spans="1:6" ht="12.75">
      <c r="A27" s="82" t="s">
        <v>352</v>
      </c>
      <c r="D27" s="51"/>
      <c r="E27" s="51"/>
      <c r="F27" s="69"/>
    </row>
    <row r="28" spans="1:6" ht="12.75">
      <c r="A28" s="3" t="s">
        <v>1676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VLOOKUP(A28,'IN-12-11'!A29:D903,4)</f>
        <v>309.97</v>
      </c>
      <c r="F28" s="69">
        <f>(D28*E28)</f>
        <v>55.7946</v>
      </c>
    </row>
    <row r="29" ht="13.5" thickBot="1"/>
    <row r="30" spans="1:7" ht="13.5" thickTop="1">
      <c r="A30" s="75" t="s">
        <v>346</v>
      </c>
      <c r="B30" s="391" t="s">
        <v>1759</v>
      </c>
      <c r="C30" s="77" t="str">
        <f>Fecha</f>
        <v>NOV/12</v>
      </c>
      <c r="D30" s="48"/>
      <c r="E30" s="48"/>
      <c r="F30" s="392">
        <f>SUM(F32:F42)</f>
        <v>58565.266253</v>
      </c>
      <c r="G30" s="41"/>
    </row>
    <row r="31" spans="1:7" ht="13.5" thickBot="1">
      <c r="A31" s="7" t="s">
        <v>345</v>
      </c>
      <c r="B31" s="7" t="s">
        <v>1757</v>
      </c>
      <c r="C31" s="78" t="s">
        <v>344</v>
      </c>
      <c r="D31" s="49" t="s">
        <v>1810</v>
      </c>
      <c r="E31" s="50"/>
      <c r="F31" s="68"/>
      <c r="G31" s="42" t="s">
        <v>347</v>
      </c>
    </row>
    <row r="32" spans="1:6" ht="13.5" thickTop="1">
      <c r="A32" s="82" t="s">
        <v>350</v>
      </c>
      <c r="D32" s="51"/>
      <c r="E32" s="51"/>
      <c r="F32" s="69"/>
    </row>
    <row r="33" spans="1:6" ht="12.75">
      <c r="A33" s="3" t="s">
        <v>1714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VLOOKUP(A33,'IN-12-11'!A34:D908,4)</f>
        <v>23.7833</v>
      </c>
      <c r="F33" s="69">
        <f aca="true" t="shared" si="5" ref="F33:F38">(D33*E33)</f>
        <v>2460.1683353000003</v>
      </c>
    </row>
    <row r="34" spans="1:6" ht="12.75">
      <c r="A34" s="3" t="s">
        <v>1809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VLOOKUP(A34,'IN-12-11'!A35:D909,4)</f>
        <v>7.6867</v>
      </c>
      <c r="F34" s="69">
        <f t="shared" si="5"/>
        <v>2822.7176607</v>
      </c>
    </row>
    <row r="35" spans="1:6" ht="12.75">
      <c r="A35" s="3" t="s">
        <v>1808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VLOOKUP(A35,'IN-12-11'!A36:D910,4)</f>
        <v>34.81</v>
      </c>
      <c r="F35" s="69">
        <f t="shared" si="5"/>
        <v>11291.35451</v>
      </c>
    </row>
    <row r="36" spans="1:6" ht="12.75">
      <c r="A36" s="3" t="s">
        <v>1712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VLOOKUP(A36,'IN-12-11'!A37:D911,4)</f>
        <v>70.4333</v>
      </c>
      <c r="F36" s="69">
        <f t="shared" si="5"/>
        <v>11001.188426900002</v>
      </c>
    </row>
    <row r="37" spans="1:6" ht="12.75">
      <c r="A37" s="3" t="s">
        <v>1929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VLOOKUP(A37,'IN-12-11'!A38:D912,4)</f>
        <v>46.9933</v>
      </c>
      <c r="F37" s="69">
        <f t="shared" si="5"/>
        <v>3312.8866700999997</v>
      </c>
    </row>
    <row r="38" spans="1:6" ht="12.75">
      <c r="A38" s="3" t="s">
        <v>146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VLOOKUP(A38,'IN-12-11'!A39:D913,4)</f>
        <v>194.21</v>
      </c>
      <c r="F38" s="69">
        <f t="shared" si="5"/>
        <v>1838.0034400000002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1707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VLOOKUP(A40,'IN-12-11'!A41:D915,4)</f>
        <v>45.8</v>
      </c>
      <c r="F40" s="69">
        <f>(D40*E40)</f>
        <v>24706.6268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VLOOKUP(A42,'IN-12-11'!A43:D917,4)</f>
        <v>309.97</v>
      </c>
      <c r="F42" s="69">
        <f>(D42*E42)</f>
        <v>1132.32041</v>
      </c>
    </row>
    <row r="43" ht="13.5" thickBot="1"/>
    <row r="44" spans="1:7" ht="13.5" thickTop="1">
      <c r="A44" s="75" t="s">
        <v>346</v>
      </c>
      <c r="B44" s="391" t="s">
        <v>1760</v>
      </c>
      <c r="C44" s="77" t="str">
        <f>Fecha</f>
        <v>NOV/12</v>
      </c>
      <c r="D44" s="48"/>
      <c r="E44" s="48"/>
      <c r="F44" s="392">
        <f>SUM(F46:F53)</f>
        <v>3510.582</v>
      </c>
      <c r="G44" s="41"/>
    </row>
    <row r="45" spans="1:7" ht="13.5" thickBot="1">
      <c r="A45" s="7" t="s">
        <v>345</v>
      </c>
      <c r="B45" s="7" t="s">
        <v>1761</v>
      </c>
      <c r="C45" s="78" t="s">
        <v>344</v>
      </c>
      <c r="D45" s="49" t="s">
        <v>1793</v>
      </c>
      <c r="E45" s="50"/>
      <c r="F45" s="68"/>
      <c r="G45" s="42" t="s">
        <v>347</v>
      </c>
    </row>
    <row r="46" spans="1:6" ht="13.5" thickTop="1">
      <c r="A46" s="82" t="s">
        <v>350</v>
      </c>
      <c r="D46" s="51"/>
      <c r="E46" s="51"/>
      <c r="F46" s="69"/>
    </row>
    <row r="47" spans="1:6" ht="12.75">
      <c r="A47" s="3" t="s">
        <v>1715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VLOOKUP(A47,'IN-12-11'!A48:D922,4)</f>
        <v>871.075</v>
      </c>
      <c r="F47" s="69">
        <f>(D47*E47)</f>
        <v>871.075</v>
      </c>
    </row>
    <row r="48" spans="1:6" ht="12.75">
      <c r="A48" s="3" t="s">
        <v>1716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VLOOKUP(A48,'IN-12-11'!A49:D923,4)</f>
        <v>1147.935</v>
      </c>
      <c r="F48" s="69">
        <f>(D48*E48)</f>
        <v>1147.935</v>
      </c>
    </row>
    <row r="49" spans="1:6" ht="12.75">
      <c r="A49" s="3" t="s">
        <v>1717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VLOOKUP(A49,'IN-12-11'!A50:D924,4)</f>
        <v>887.6</v>
      </c>
      <c r="F49" s="69">
        <f>(D49*E49)</f>
        <v>887.6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1707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VLOOKUP(A51,'IN-12-11'!A52:D926,4)</f>
        <v>45.8</v>
      </c>
      <c r="F51" s="69">
        <f>(D51*E51)</f>
        <v>479.984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VLOOKUP(A53,'IN-12-11'!A54:D928,4)</f>
        <v>309.97</v>
      </c>
      <c r="F53" s="69">
        <f>(D53*E53)</f>
        <v>123.98800000000001</v>
      </c>
    </row>
    <row r="55" ht="13.5" thickBot="1"/>
    <row r="56" spans="1:7" ht="13.5" thickTop="1">
      <c r="A56" s="75" t="s">
        <v>346</v>
      </c>
      <c r="B56" s="391" t="s">
        <v>340</v>
      </c>
      <c r="C56" s="77" t="str">
        <f>Fecha</f>
        <v>NOV/12</v>
      </c>
      <c r="D56" s="48"/>
      <c r="E56" s="48"/>
      <c r="F56" s="392">
        <f>SUM(F58:F72)</f>
        <v>7737.8827200000005</v>
      </c>
      <c r="G56" s="41"/>
    </row>
    <row r="57" spans="1:7" ht="13.5" thickBot="1">
      <c r="A57" s="7" t="s">
        <v>345</v>
      </c>
      <c r="B57" s="7" t="s">
        <v>1757</v>
      </c>
      <c r="C57" s="78" t="s">
        <v>344</v>
      </c>
      <c r="D57" s="49" t="s">
        <v>341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1929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VLOOKUP(A59,'IN-12-11'!A60:D934,4)</f>
        <v>46.9933</v>
      </c>
      <c r="F59" s="69">
        <f aca="true" t="shared" si="8" ref="F59:F68">(D59*E59)</f>
        <v>225.56784</v>
      </c>
    </row>
    <row r="60" spans="1:6" ht="12.75">
      <c r="A60" s="3" t="s">
        <v>1809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VLOOKUP(A60,'IN-12-11'!A61:D935,4)</f>
        <v>7.6867</v>
      </c>
      <c r="F60" s="69">
        <f t="shared" si="8"/>
        <v>219.07095</v>
      </c>
    </row>
    <row r="61" spans="1:6" ht="12.75">
      <c r="A61" s="3" t="s">
        <v>1808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VLOOKUP(A61,'IN-12-11'!A62:D936,4)</f>
        <v>34.81</v>
      </c>
      <c r="F61" s="69">
        <f t="shared" si="8"/>
        <v>891.1360000000001</v>
      </c>
    </row>
    <row r="62" spans="1:6" ht="12.75">
      <c r="A62" s="3" t="s">
        <v>1713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VLOOKUP(A62,'IN-12-11'!A63:D937,4)</f>
        <v>150.55</v>
      </c>
      <c r="F62" s="69">
        <f t="shared" si="8"/>
        <v>150.55</v>
      </c>
    </row>
    <row r="63" spans="1:6" ht="12.75">
      <c r="A63" s="3" t="s">
        <v>146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VLOOKUP(A63,'IN-12-11'!A64:D938,4)</f>
        <v>194.21</v>
      </c>
      <c r="F63" s="69">
        <f t="shared" si="8"/>
        <v>194.21</v>
      </c>
    </row>
    <row r="64" spans="1:6" ht="12.75">
      <c r="A64" s="3" t="s">
        <v>1712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VLOOKUP(A64,'IN-12-11'!A65:D939,4)</f>
        <v>70.4333</v>
      </c>
      <c r="F64" s="69">
        <f t="shared" si="8"/>
        <v>234.542889</v>
      </c>
    </row>
    <row r="65" spans="1:6" ht="12.75">
      <c r="A65" s="3" t="s">
        <v>1714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VLOOKUP(A65,'IN-12-11'!A66:D940,4)</f>
        <v>23.7833</v>
      </c>
      <c r="F65" s="69">
        <f t="shared" si="8"/>
        <v>137.229641</v>
      </c>
    </row>
    <row r="66" spans="1:6" ht="12.75">
      <c r="A66" s="3" t="s">
        <v>1715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VLOOKUP(A66,'IN-12-11'!A67:D941,4)</f>
        <v>871.075</v>
      </c>
      <c r="F66" s="69">
        <f t="shared" si="8"/>
        <v>871.075</v>
      </c>
    </row>
    <row r="67" spans="1:6" ht="12.75">
      <c r="A67" s="3" t="s">
        <v>1716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VLOOKUP(A67,'IN-12-11'!A68:D942,4)</f>
        <v>1147.935</v>
      </c>
      <c r="F67" s="69">
        <f t="shared" si="8"/>
        <v>1147.935</v>
      </c>
    </row>
    <row r="68" spans="1:6" ht="12.75">
      <c r="A68" s="3" t="s">
        <v>1717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VLOOKUP(A68,'IN-12-11'!A69:D943,4)</f>
        <v>887.6</v>
      </c>
      <c r="F68" s="69">
        <f t="shared" si="8"/>
        <v>887.6</v>
      </c>
    </row>
    <row r="69" spans="1:6" ht="12.75">
      <c r="A69" s="82" t="s">
        <v>351</v>
      </c>
      <c r="D69" s="51"/>
      <c r="E69" s="51"/>
      <c r="F69" s="69"/>
    </row>
    <row r="70" spans="1:6" ht="12.75">
      <c r="A70" s="3" t="s">
        <v>1707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VLOOKUP(A70,'IN-12-11'!A71:D945,4)</f>
        <v>45.8</v>
      </c>
      <c r="F70" s="69">
        <f>(D70*E70)</f>
        <v>2586.784</v>
      </c>
    </row>
    <row r="71" spans="1:6" ht="12.75">
      <c r="A71" s="82" t="s">
        <v>352</v>
      </c>
      <c r="D71" s="51"/>
      <c r="E71" s="51"/>
      <c r="F71" s="69"/>
    </row>
    <row r="72" spans="1:6" ht="12.75">
      <c r="A72" s="3" t="s">
        <v>1676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VLOOKUP(A72,'IN-12-11'!A73:D947,4)</f>
        <v>309.97</v>
      </c>
      <c r="F72" s="69">
        <f>(D72*E72)</f>
        <v>192.18140000000002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E43" sqref="E4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1762</v>
      </c>
      <c r="C2" s="77" t="str">
        <f>Fecha</f>
        <v>NOV/12</v>
      </c>
      <c r="D2" s="48"/>
      <c r="E2" s="48"/>
      <c r="F2" s="392">
        <f>SUM(F4:F13)</f>
        <v>4474.112679000001</v>
      </c>
      <c r="G2" s="41"/>
    </row>
    <row r="3" spans="1:7" ht="13.5" thickBot="1">
      <c r="A3" s="7" t="s">
        <v>345</v>
      </c>
      <c r="B3" s="7" t="s">
        <v>1763</v>
      </c>
      <c r="C3" s="78" t="s">
        <v>344</v>
      </c>
      <c r="D3" s="49" t="s">
        <v>1794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1609</v>
      </c>
      <c r="B5" s="4" t="str">
        <f>VLOOKUP(A5,Insumos,2)</f>
        <v>caño semipesado 5/8" x 3 m.</v>
      </c>
      <c r="C5" s="6" t="str">
        <f>VLOOKUP(A5,Insumos,3)</f>
        <v>u</v>
      </c>
      <c r="D5" s="51">
        <v>63.72</v>
      </c>
      <c r="E5" s="51">
        <f>VLOOKUP(A5,'IN-12-11'!A6:D880,4)</f>
        <v>21.6167</v>
      </c>
      <c r="F5" s="69">
        <f>(D5*E5)</f>
        <v>1377.416124</v>
      </c>
    </row>
    <row r="6" spans="1:6" ht="12.75">
      <c r="A6" s="3" t="s">
        <v>1605</v>
      </c>
      <c r="B6" s="4" t="str">
        <f>VLOOKUP(A6,Insumos,2)</f>
        <v>caja rectangular 10 x 5 x 4.5</v>
      </c>
      <c r="C6" s="6" t="str">
        <f>VLOOKUP(A6,Insumos,3)</f>
        <v>u</v>
      </c>
      <c r="D6" s="51">
        <v>53.35</v>
      </c>
      <c r="E6" s="51">
        <f>VLOOKUP(A6,'IN-12-11'!A7:D881,4)</f>
        <v>2.66</v>
      </c>
      <c r="F6" s="69">
        <f>(D6*E6)</f>
        <v>141.911</v>
      </c>
    </row>
    <row r="7" spans="1:6" ht="12.75">
      <c r="A7" s="3" t="s">
        <v>1621</v>
      </c>
      <c r="B7" s="4" t="str">
        <f>VLOOKUP(A7,Insumos,2)</f>
        <v>llave 1 punto y toma 10 A</v>
      </c>
      <c r="C7" s="6" t="str">
        <f>VLOOKUP(A7,Insumos,3)</f>
        <v>u</v>
      </c>
      <c r="D7" s="51">
        <v>13.73</v>
      </c>
      <c r="E7" s="51">
        <f>VLOOKUP(A7,'IN-12-11'!A8:D882,4)</f>
        <v>15.705</v>
      </c>
      <c r="F7" s="69">
        <f>(D7*E7)</f>
        <v>215.62965</v>
      </c>
    </row>
    <row r="8" spans="1:6" ht="12.75">
      <c r="A8" s="3" t="s">
        <v>1614</v>
      </c>
      <c r="B8" s="4" t="str">
        <f>VLOOKUP(A8,Insumos,2)</f>
        <v>interruptor termomagnético DIN 1x10 A</v>
      </c>
      <c r="C8" s="6" t="str">
        <f>VLOOKUP(A8,Insumos,3)</f>
        <v>u</v>
      </c>
      <c r="D8" s="51">
        <v>4.9</v>
      </c>
      <c r="E8" s="51">
        <f>VLOOKUP(A8,'IN-12-11'!A9:D883,4)</f>
        <v>17.3367</v>
      </c>
      <c r="F8" s="69">
        <f>(D8*E8)</f>
        <v>84.94983</v>
      </c>
    </row>
    <row r="9" spans="1:6" ht="12.75">
      <c r="A9" s="3" t="s">
        <v>1598</v>
      </c>
      <c r="B9" s="4" t="str">
        <f>VLOOKUP(A9,Insumos,2)</f>
        <v>cable cobre aislado 1 x 2.5 mm2.</v>
      </c>
      <c r="C9" s="6" t="str">
        <f>VLOOKUP(A9,Insumos,3)</f>
        <v>m</v>
      </c>
      <c r="D9" s="51">
        <v>132.75</v>
      </c>
      <c r="E9" s="51">
        <f>VLOOKUP(A9,'IN-12-11'!A10:D884,4)</f>
        <v>2.3933</v>
      </c>
      <c r="F9" s="69">
        <f>(D9*E9)</f>
        <v>317.710575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1707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VLOOKUP(A11,'IN-12-11'!A12:D886,4)</f>
        <v>45.8</v>
      </c>
      <c r="F11" s="69">
        <f>(D11*E11)</f>
        <v>2290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309.97</v>
      </c>
      <c r="F13" s="69">
        <f>(D13*E13)</f>
        <v>46.4955</v>
      </c>
    </row>
    <row r="14" ht="13.5" thickBot="1"/>
    <row r="15" spans="1:7" ht="13.5" thickTop="1">
      <c r="A15" s="75" t="s">
        <v>346</v>
      </c>
      <c r="B15" s="391" t="s">
        <v>1764</v>
      </c>
      <c r="C15" s="77" t="str">
        <f>Fecha</f>
        <v>NOV/12</v>
      </c>
      <c r="D15" s="48"/>
      <c r="E15" s="48"/>
      <c r="F15" s="392">
        <f>SUM(F17:F27)</f>
        <v>65973.9735005</v>
      </c>
      <c r="G15" s="41"/>
    </row>
    <row r="16" spans="1:7" ht="13.5" thickBot="1">
      <c r="A16" s="7" t="s">
        <v>345</v>
      </c>
      <c r="B16" s="7" t="s">
        <v>1763</v>
      </c>
      <c r="C16" s="78" t="s">
        <v>344</v>
      </c>
      <c r="D16" s="49" t="s">
        <v>366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1609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51">
        <v>472.62</v>
      </c>
      <c r="E18" s="51">
        <f>VLOOKUP(A18,'IN-12-11'!A19:D893,4)</f>
        <v>21.6167</v>
      </c>
      <c r="F18" s="69">
        <f aca="true" t="shared" si="2" ref="F18:F23">(D18*E18)</f>
        <v>10216.484754000001</v>
      </c>
    </row>
    <row r="19" spans="1:6" ht="12.75">
      <c r="A19" s="3" t="s">
        <v>1605</v>
      </c>
      <c r="B19" s="4" t="str">
        <f t="shared" si="0"/>
        <v>caja rectangular 10 x 5 x 4.5</v>
      </c>
      <c r="C19" s="6" t="str">
        <f t="shared" si="1"/>
        <v>u</v>
      </c>
      <c r="D19" s="51">
        <v>576.332</v>
      </c>
      <c r="E19" s="51">
        <f>VLOOKUP(A19,'IN-12-11'!A20:D894,4)</f>
        <v>2.66</v>
      </c>
      <c r="F19" s="69">
        <f t="shared" si="2"/>
        <v>1533.04312</v>
      </c>
    </row>
    <row r="20" spans="1:6" ht="12.75">
      <c r="A20" s="3" t="s">
        <v>1629</v>
      </c>
      <c r="B20" s="4" t="str">
        <f t="shared" si="0"/>
        <v>gabinete completo p/ 12 medidores</v>
      </c>
      <c r="C20" s="6" t="str">
        <f t="shared" si="1"/>
        <v>u</v>
      </c>
      <c r="D20" s="51">
        <v>1.742</v>
      </c>
      <c r="E20" s="51">
        <f>VLOOKUP(A20,'IN-12-11'!A21:D895,4)</f>
        <v>15000</v>
      </c>
      <c r="F20" s="69">
        <f t="shared" si="2"/>
        <v>26130</v>
      </c>
    </row>
    <row r="21" spans="1:6" ht="12.75">
      <c r="A21" s="3" t="s">
        <v>1621</v>
      </c>
      <c r="B21" s="4" t="str">
        <f t="shared" si="0"/>
        <v>llave 1 punto y toma 10 A</v>
      </c>
      <c r="C21" s="6" t="str">
        <f t="shared" si="1"/>
        <v>u</v>
      </c>
      <c r="D21" s="51">
        <v>146.85</v>
      </c>
      <c r="E21" s="51">
        <f>VLOOKUP(A21,'IN-12-11'!A22:D896,4)</f>
        <v>15.705</v>
      </c>
      <c r="F21" s="69">
        <f t="shared" si="2"/>
        <v>2306.27925</v>
      </c>
    </row>
    <row r="22" spans="1:6" ht="12.75">
      <c r="A22" s="3" t="s">
        <v>1614</v>
      </c>
      <c r="B22" s="4" t="str">
        <f t="shared" si="0"/>
        <v>interruptor termomagnético DIN 1x10 A</v>
      </c>
      <c r="C22" s="6" t="str">
        <f t="shared" si="1"/>
        <v>u</v>
      </c>
      <c r="D22" s="51">
        <v>373.02</v>
      </c>
      <c r="E22" s="51">
        <f>VLOOKUP(A22,'IN-12-11'!A23:D897,4)</f>
        <v>17.3367</v>
      </c>
      <c r="F22" s="69">
        <f t="shared" si="2"/>
        <v>6466.935834</v>
      </c>
    </row>
    <row r="23" spans="1:6" ht="12.75">
      <c r="A23" s="3" t="s">
        <v>1598</v>
      </c>
      <c r="B23" s="4" t="str">
        <f t="shared" si="0"/>
        <v>cable cobre aislado 1 x 2.5 mm2.</v>
      </c>
      <c r="C23" s="6" t="str">
        <f t="shared" si="1"/>
        <v>m</v>
      </c>
      <c r="D23" s="51">
        <v>2082.325</v>
      </c>
      <c r="E23" s="51">
        <f>VLOOKUP(A23,'IN-12-11'!A24:D898,4)</f>
        <v>2.3933</v>
      </c>
      <c r="F23" s="69">
        <f t="shared" si="2"/>
        <v>4983.6284225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1707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VLOOKUP(A25,'IN-12-11'!A26:D900,4)</f>
        <v>45.8</v>
      </c>
      <c r="F25" s="69">
        <f>(D25*E25)</f>
        <v>13799.494199999997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VLOOKUP(A27,'IN-12-11'!A28:D902,4)</f>
        <v>309.97</v>
      </c>
      <c r="F27" s="69">
        <f>(D27*E27)</f>
        <v>538.10792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391" t="s">
        <v>1915</v>
      </c>
      <c r="C29" s="77" t="str">
        <f>Fecha</f>
        <v>NOV/12</v>
      </c>
      <c r="D29" s="48"/>
      <c r="E29" s="48"/>
      <c r="F29" s="392">
        <f>SUM(F31:F42)</f>
        <v>4609.472500999999</v>
      </c>
      <c r="G29" s="41"/>
    </row>
    <row r="30" spans="1:7" ht="13.5" thickBot="1">
      <c r="A30" s="7" t="s">
        <v>345</v>
      </c>
      <c r="B30" s="7" t="s">
        <v>1763</v>
      </c>
      <c r="C30" s="78" t="s">
        <v>344</v>
      </c>
      <c r="D30" s="49" t="s">
        <v>1932</v>
      </c>
      <c r="E30" s="50"/>
      <c r="F30" s="68"/>
      <c r="G30" s="42" t="s">
        <v>347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183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VLOOKUP(A32,'IN-12-11'!A33:D907,4)</f>
        <v>421.49</v>
      </c>
      <c r="F32" s="69">
        <f aca="true" t="shared" si="5" ref="F32:F38">(D32*E32)</f>
        <v>421.49</v>
      </c>
    </row>
    <row r="33" spans="1:6" ht="12.75">
      <c r="A33" s="3" t="s">
        <v>1595</v>
      </c>
      <c r="B33" s="4" t="str">
        <f t="shared" si="3"/>
        <v>caja medidor 220V policarbonato EDESA</v>
      </c>
      <c r="C33" s="6" t="str">
        <f t="shared" si="4"/>
        <v>u</v>
      </c>
      <c r="D33" s="51">
        <v>3.6</v>
      </c>
      <c r="E33" s="51">
        <f>VLOOKUP(A33,'IN-12-11'!A34:D908,4)</f>
        <v>49.74</v>
      </c>
      <c r="F33" s="69">
        <f t="shared" si="5"/>
        <v>179.06400000000002</v>
      </c>
    </row>
    <row r="34" spans="1:6" ht="12.75">
      <c r="A34" s="3" t="s">
        <v>1605</v>
      </c>
      <c r="B34" s="4" t="str">
        <f t="shared" si="3"/>
        <v>caja rectangular 10 x 5 x 4.5</v>
      </c>
      <c r="C34" s="6" t="str">
        <f t="shared" si="4"/>
        <v>u</v>
      </c>
      <c r="D34" s="51">
        <v>44</v>
      </c>
      <c r="E34" s="51">
        <f>VLOOKUP(A34,'IN-12-11'!A35:D909,4)</f>
        <v>2.66</v>
      </c>
      <c r="F34" s="69">
        <f t="shared" si="5"/>
        <v>117.04</v>
      </c>
    </row>
    <row r="35" spans="1:6" ht="12.75">
      <c r="A35" s="3" t="s">
        <v>1609</v>
      </c>
      <c r="B35" s="4" t="str">
        <f t="shared" si="3"/>
        <v>caño semipesado 5/8" x 3 m.</v>
      </c>
      <c r="C35" s="6" t="str">
        <f t="shared" si="4"/>
        <v>u</v>
      </c>
      <c r="D35" s="51">
        <v>33</v>
      </c>
      <c r="E35" s="51">
        <f>VLOOKUP(A35,'IN-12-11'!A36:D910,4)</f>
        <v>21.6167</v>
      </c>
      <c r="F35" s="69">
        <f t="shared" si="5"/>
        <v>713.3511000000001</v>
      </c>
    </row>
    <row r="36" spans="1:6" ht="12.75">
      <c r="A36" s="3" t="s">
        <v>1621</v>
      </c>
      <c r="B36" s="4" t="str">
        <f t="shared" si="3"/>
        <v>llave 1 punto y toma 10 A</v>
      </c>
      <c r="C36" s="6" t="str">
        <f t="shared" si="4"/>
        <v>u</v>
      </c>
      <c r="D36" s="51">
        <v>21.36</v>
      </c>
      <c r="E36" s="51">
        <f>VLOOKUP(A36,'IN-12-11'!A37:D911,4)</f>
        <v>15.705</v>
      </c>
      <c r="F36" s="69">
        <f t="shared" si="5"/>
        <v>335.4588</v>
      </c>
    </row>
    <row r="37" spans="1:6" ht="12.75">
      <c r="A37" s="3" t="s">
        <v>1614</v>
      </c>
      <c r="B37" s="4" t="str">
        <f t="shared" si="3"/>
        <v>interruptor termomagnético DIN 1x10 A</v>
      </c>
      <c r="C37" s="6" t="str">
        <f t="shared" si="4"/>
        <v>u</v>
      </c>
      <c r="D37" s="51">
        <v>25.39</v>
      </c>
      <c r="E37" s="51">
        <f>VLOOKUP(A37,'IN-12-11'!A38:D912,4)</f>
        <v>17.3367</v>
      </c>
      <c r="F37" s="69">
        <f t="shared" si="5"/>
        <v>440.17881300000005</v>
      </c>
    </row>
    <row r="38" spans="1:6" ht="12.75">
      <c r="A38" s="3" t="s">
        <v>1598</v>
      </c>
      <c r="B38" s="4" t="str">
        <f t="shared" si="3"/>
        <v>cable cobre aislado 1 x 2.5 mm2.</v>
      </c>
      <c r="C38" s="6" t="str">
        <f t="shared" si="4"/>
        <v>m</v>
      </c>
      <c r="D38" s="51">
        <v>174.36</v>
      </c>
      <c r="E38" s="51">
        <f>VLOOKUP(A38,'IN-12-11'!A39:D913,4)</f>
        <v>2.3933</v>
      </c>
      <c r="F38" s="69">
        <f t="shared" si="5"/>
        <v>417.295788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1707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VLOOKUP(A40,'IN-12-11'!A41:D915,4)</f>
        <v>45.8</v>
      </c>
      <c r="F40" s="69">
        <f>(D40*E40)</f>
        <v>1923.6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VLOOKUP(A42,'IN-12-11'!A43:D917,4)</f>
        <v>309.97</v>
      </c>
      <c r="F42" s="69">
        <f>(D42*E42)</f>
        <v>61.99400000000001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1765</v>
      </c>
      <c r="C2" s="77" t="str">
        <f>Fecha</f>
        <v>NOV/12</v>
      </c>
      <c r="D2" s="48"/>
      <c r="E2" s="48"/>
      <c r="F2" s="392">
        <f>SUM(F5:F12)</f>
        <v>32.365515</v>
      </c>
      <c r="G2" s="41"/>
    </row>
    <row r="3" spans="1:7" ht="13.5" thickBot="1">
      <c r="A3" s="7" t="s">
        <v>345</v>
      </c>
      <c r="B3" s="7" t="s">
        <v>1766</v>
      </c>
      <c r="C3" s="78" t="s">
        <v>344</v>
      </c>
      <c r="D3" s="49" t="s">
        <v>1795</v>
      </c>
      <c r="E3" s="50"/>
      <c r="F3" s="68"/>
      <c r="G3" s="42" t="s">
        <v>1976</v>
      </c>
    </row>
    <row r="4" spans="4:6" ht="4.5" customHeight="1" thickTop="1">
      <c r="D4" s="51"/>
      <c r="E4" s="51"/>
      <c r="F4" s="69"/>
    </row>
    <row r="5" spans="1:6" ht="12.75">
      <c r="A5" s="82" t="s">
        <v>350</v>
      </c>
      <c r="D5" s="51"/>
      <c r="E5" s="51"/>
      <c r="F5" s="69"/>
    </row>
    <row r="6" spans="1:6" ht="12.75">
      <c r="A6" s="3" t="s">
        <v>1718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VLOOKUP(A6,'IN-12-11'!A6:D880,4)</f>
        <v>423.39</v>
      </c>
      <c r="F6" s="69">
        <f>(D6*E6)</f>
        <v>5.292375</v>
      </c>
    </row>
    <row r="7" spans="1:6" ht="12.75">
      <c r="A7" s="3" t="s">
        <v>73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VLOOKUP(A7,'IN-12-11'!A7:D881,4)</f>
        <v>16.155</v>
      </c>
      <c r="F7" s="69">
        <f>(D7*E7)</f>
        <v>1.0823850000000002</v>
      </c>
    </row>
    <row r="8" spans="1:6" ht="12.75">
      <c r="A8" s="3" t="s">
        <v>1811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VLOOKUP(A8,'IN-12-11'!A8:D882,4)</f>
        <v>17.12</v>
      </c>
      <c r="F8" s="69">
        <f>(D8*E8)</f>
        <v>5.820800000000001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VLOOKUP(A10,'IN-12-11'!A10:D884,4)</f>
        <v>39.41</v>
      </c>
      <c r="F10" s="69">
        <f>(D10*E10)</f>
        <v>19.705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VLOOKUP(A12,'IN-12-11'!A12:D886,4)</f>
        <v>309.97</v>
      </c>
      <c r="F12" s="69">
        <f>(D12*E12)</f>
        <v>0.46495500000000006</v>
      </c>
    </row>
    <row r="13" ht="13.5" thickBot="1"/>
    <row r="14" spans="1:7" ht="13.5" thickTop="1">
      <c r="A14" s="75" t="s">
        <v>346</v>
      </c>
      <c r="B14" s="391" t="s">
        <v>1767</v>
      </c>
      <c r="C14" s="77" t="str">
        <f>Fecha</f>
        <v>NOV/12</v>
      </c>
      <c r="D14" s="48"/>
      <c r="E14" s="48"/>
      <c r="F14" s="392">
        <f>SUM(F17:F23)</f>
        <v>10.669585</v>
      </c>
      <c r="G14" s="41"/>
    </row>
    <row r="15" spans="1:7" ht="13.5" thickBot="1">
      <c r="A15" s="7" t="s">
        <v>345</v>
      </c>
      <c r="B15" s="7" t="s">
        <v>1766</v>
      </c>
      <c r="C15" s="78" t="s">
        <v>344</v>
      </c>
      <c r="D15" s="49" t="s">
        <v>1796</v>
      </c>
      <c r="E15" s="50"/>
      <c r="F15" s="68"/>
      <c r="G15" s="42" t="s">
        <v>1976</v>
      </c>
    </row>
    <row r="16" spans="4:6" ht="4.5" customHeight="1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73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VLOOKUP(A18,'IN-12-11'!A18:D892,4)</f>
        <v>16.155</v>
      </c>
      <c r="F18" s="69">
        <f>(D18*E18)</f>
        <v>0.32310000000000005</v>
      </c>
    </row>
    <row r="19" spans="1:6" ht="12.75">
      <c r="A19" s="3" t="s">
        <v>1685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VLOOKUP(A19,'IN-12-11'!A19:D893,4)</f>
        <v>1.13</v>
      </c>
      <c r="F19" s="69">
        <f>(D19*E19)</f>
        <v>0.33899999999999997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VLOOKUP(A21,'IN-12-11'!A21:D895,4)</f>
        <v>39.41</v>
      </c>
      <c r="F21" s="69">
        <f>(D21*E21)</f>
        <v>9.8525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1676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VLOOKUP(A23,'IN-12-11'!A23:D897,4)</f>
        <v>309.97</v>
      </c>
      <c r="F23" s="69">
        <f>(D23*E23)</f>
        <v>0.154985</v>
      </c>
    </row>
    <row r="24" ht="13.5" thickBot="1"/>
    <row r="25" spans="1:7" ht="13.5" thickTop="1">
      <c r="A25" s="75" t="s">
        <v>346</v>
      </c>
      <c r="B25" s="391" t="s">
        <v>1768</v>
      </c>
      <c r="C25" s="77" t="str">
        <f>Fecha</f>
        <v>NOV/12</v>
      </c>
      <c r="D25" s="48"/>
      <c r="E25" s="48"/>
      <c r="F25" s="392">
        <f>SUM(F28:F34)</f>
        <v>11.220085</v>
      </c>
      <c r="G25" s="41"/>
    </row>
    <row r="26" spans="1:7" ht="13.5" thickBot="1">
      <c r="A26" s="7" t="s">
        <v>345</v>
      </c>
      <c r="B26" s="7" t="s">
        <v>1766</v>
      </c>
      <c r="C26" s="78" t="s">
        <v>344</v>
      </c>
      <c r="D26" s="49" t="s">
        <v>1819</v>
      </c>
      <c r="E26" s="50"/>
      <c r="F26" s="68"/>
      <c r="G26" s="42" t="s">
        <v>1976</v>
      </c>
    </row>
    <row r="27" spans="4:6" ht="4.5" customHeight="1" thickTop="1">
      <c r="D27" s="51"/>
      <c r="E27" s="51"/>
      <c r="F27" s="69"/>
    </row>
    <row r="28" spans="1:6" ht="12.75">
      <c r="A28" s="82" t="s">
        <v>350</v>
      </c>
      <c r="D28" s="51"/>
      <c r="E28" s="51"/>
      <c r="F28" s="69"/>
    </row>
    <row r="29" spans="1:6" ht="12.75">
      <c r="A29" s="3" t="s">
        <v>73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VLOOKUP(A29,'IN-12-11'!A29:D903,4)</f>
        <v>16.155</v>
      </c>
      <c r="F29" s="69">
        <f>(D29*E29)</f>
        <v>0.32310000000000005</v>
      </c>
    </row>
    <row r="30" spans="1:6" ht="12.75">
      <c r="A30" s="3" t="s">
        <v>1820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VLOOKUP(A30,'IN-12-11'!A30:D904,4)</f>
        <v>11.86</v>
      </c>
      <c r="F30" s="69">
        <f>(D30*E30)</f>
        <v>0.8895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VLOOKUP(A32,'IN-12-11'!A32:D906,4)</f>
        <v>39.41</v>
      </c>
      <c r="F32" s="69">
        <f>(D32*E32)</f>
        <v>9.8525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1676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VLOOKUP(A34,'IN-12-11'!A34:D908,4)</f>
        <v>309.97</v>
      </c>
      <c r="F34" s="69">
        <f>(D34*E34)</f>
        <v>0.154985</v>
      </c>
    </row>
    <row r="35" ht="13.5" thickBot="1"/>
    <row r="36" spans="1:7" ht="13.5" thickTop="1">
      <c r="A36" s="75" t="s">
        <v>346</v>
      </c>
      <c r="B36" s="391" t="s">
        <v>1821</v>
      </c>
      <c r="C36" s="77" t="str">
        <f>Fecha</f>
        <v>NOV/12</v>
      </c>
      <c r="D36" s="48"/>
      <c r="E36" s="48"/>
      <c r="F36" s="392">
        <f>SUM(F39:F46)</f>
        <v>43.0850095</v>
      </c>
      <c r="G36" s="41"/>
    </row>
    <row r="37" spans="1:7" ht="13.5" thickBot="1">
      <c r="A37" s="7" t="s">
        <v>345</v>
      </c>
      <c r="B37" s="7" t="s">
        <v>1766</v>
      </c>
      <c r="C37" s="78" t="s">
        <v>344</v>
      </c>
      <c r="D37" s="49" t="s">
        <v>1797</v>
      </c>
      <c r="E37" s="50"/>
      <c r="F37" s="68"/>
      <c r="G37" s="42" t="s">
        <v>1976</v>
      </c>
    </row>
    <row r="38" spans="4:6" ht="4.5" customHeight="1" thickTop="1">
      <c r="D38" s="51"/>
      <c r="E38" s="51"/>
      <c r="F38" s="69"/>
    </row>
    <row r="39" spans="1:6" ht="12.75">
      <c r="A39" s="82" t="s">
        <v>350</v>
      </c>
      <c r="D39" s="51"/>
      <c r="E39" s="51"/>
      <c r="F39" s="69"/>
    </row>
    <row r="40" spans="1:6" ht="12.75">
      <c r="A40" s="3" t="s">
        <v>1719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VLOOKUP(A40,'IN-12-11'!A40:D914,4)</f>
        <v>181.3667</v>
      </c>
      <c r="F40" s="69">
        <f>(D40*E40)</f>
        <v>9.068335000000001</v>
      </c>
    </row>
    <row r="41" spans="1:6" ht="12.75">
      <c r="A41" s="3" t="s">
        <v>185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VLOOKUP(A41,'IN-12-11'!A41:D915,4)</f>
        <v>140.4467</v>
      </c>
      <c r="F41" s="69">
        <f>(D41*E41)</f>
        <v>3.5111675</v>
      </c>
    </row>
    <row r="42" spans="1:6" ht="12.75">
      <c r="A42" s="3" t="s">
        <v>1813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VLOOKUP(A42,'IN-12-11'!A42:D916,4)</f>
        <v>32.8067</v>
      </c>
      <c r="F42" s="69">
        <f>(D42*E42)</f>
        <v>0.328067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VLOOKUP(A44,'IN-12-11'!A44:D918,4)</f>
        <v>39.41</v>
      </c>
      <c r="F44" s="69">
        <f>(D44*E44)</f>
        <v>29.557499999999997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1676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VLOOKUP(A46,'IN-12-11'!A46:D920,4)</f>
        <v>309.97</v>
      </c>
      <c r="F46" s="69">
        <f>(D46*E46)</f>
        <v>0.61994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346</v>
      </c>
      <c r="B48" s="391" t="s">
        <v>186</v>
      </c>
      <c r="C48" s="77" t="str">
        <f>Fecha</f>
        <v>NOV/12</v>
      </c>
      <c r="D48" s="48"/>
      <c r="E48" s="48"/>
      <c r="F48" s="392">
        <f>SUM(F50:F56)</f>
        <v>26.822497</v>
      </c>
      <c r="G48" s="41"/>
    </row>
    <row r="49" spans="1:7" ht="13.5" thickBot="1">
      <c r="A49" s="7" t="s">
        <v>345</v>
      </c>
      <c r="B49" s="7" t="s">
        <v>1766</v>
      </c>
      <c r="C49" s="78" t="s">
        <v>344</v>
      </c>
      <c r="D49" s="49" t="s">
        <v>1912</v>
      </c>
      <c r="E49" s="50"/>
      <c r="F49" s="68"/>
      <c r="G49" s="42" t="s">
        <v>1976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1812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VLOOKUP(A51,'IN-12-11'!A51:D925,4)</f>
        <v>14.6567</v>
      </c>
      <c r="F51" s="69">
        <f>(D51*E51)</f>
        <v>0.879402</v>
      </c>
    </row>
    <row r="52" spans="1:6" ht="12.75">
      <c r="A52" s="3" t="s">
        <v>1813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VLOOKUP(A52,'IN-12-11'!A52:D926,4)</f>
        <v>32.8067</v>
      </c>
      <c r="F52" s="69">
        <f>(D52*E52)</f>
        <v>6.56134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VLOOKUP(A54,'IN-12-11'!A54:D928,4)</f>
        <v>39.41</v>
      </c>
      <c r="F54" s="69">
        <f>(D54*E54)</f>
        <v>18.9168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1676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VLOOKUP(A56,'IN-12-11'!A56:D930,4)</f>
        <v>309.97</v>
      </c>
      <c r="F56" s="69">
        <f>(D56*E56)</f>
        <v>0.46495500000000006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346</v>
      </c>
      <c r="B58" s="391" t="s">
        <v>187</v>
      </c>
      <c r="C58" s="77" t="str">
        <f>Fecha</f>
        <v>NOV/12</v>
      </c>
      <c r="D58" s="48"/>
      <c r="E58" s="48"/>
      <c r="F58" s="392">
        <f>SUM(F60:F67)</f>
        <v>35.6096516</v>
      </c>
      <c r="G58" s="41"/>
    </row>
    <row r="59" spans="1:7" ht="13.5" thickBot="1">
      <c r="A59" s="7" t="s">
        <v>345</v>
      </c>
      <c r="B59" s="7" t="s">
        <v>1766</v>
      </c>
      <c r="C59" s="78" t="s">
        <v>344</v>
      </c>
      <c r="D59" s="49" t="s">
        <v>1913</v>
      </c>
      <c r="E59" s="50"/>
      <c r="F59" s="68"/>
      <c r="G59" s="42" t="s">
        <v>1976</v>
      </c>
    </row>
    <row r="60" spans="1:6" ht="13.5" thickTop="1">
      <c r="A60" s="82" t="s">
        <v>350</v>
      </c>
      <c r="D60" s="51"/>
      <c r="E60" s="51"/>
      <c r="F60" s="69"/>
    </row>
    <row r="61" spans="1:6" ht="12.75">
      <c r="A61" s="3" t="s">
        <v>1812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VLOOKUP(A61,'IN-12-11'!A61:D935,4)</f>
        <v>14.6567</v>
      </c>
      <c r="F61" s="69">
        <f>(D61*E61)</f>
        <v>0.879402</v>
      </c>
    </row>
    <row r="62" spans="1:6" ht="12.75">
      <c r="A62" s="3" t="s">
        <v>185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VLOOKUP(A62,'IN-12-11'!A62:D936,4)</f>
        <v>140.4467</v>
      </c>
      <c r="F62" s="69">
        <f>(D62*E62)</f>
        <v>5.3369746</v>
      </c>
    </row>
    <row r="63" spans="1:6" ht="12.75">
      <c r="A63" s="3" t="s">
        <v>1719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VLOOKUP(A63,'IN-12-11'!A63:D937,4)</f>
        <v>181.3667</v>
      </c>
      <c r="F63" s="69">
        <f>(D63*E63)</f>
        <v>9.068335000000001</v>
      </c>
    </row>
    <row r="64" spans="1:6" ht="12.75">
      <c r="A64" s="82" t="s">
        <v>351</v>
      </c>
      <c r="D64" s="51"/>
      <c r="E64" s="51"/>
      <c r="F64" s="69"/>
    </row>
    <row r="65" spans="1:6" ht="12.75">
      <c r="A65" s="3" t="s">
        <v>1675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VLOOKUP(A65,'IN-12-11'!A65:D939,4)</f>
        <v>39.41</v>
      </c>
      <c r="F65" s="69">
        <f>(D65*E65)</f>
        <v>19.705</v>
      </c>
    </row>
    <row r="66" spans="1:6" ht="12.75">
      <c r="A66" s="82" t="s">
        <v>352</v>
      </c>
      <c r="D66" s="51"/>
      <c r="E66" s="51"/>
      <c r="F66" s="69"/>
    </row>
    <row r="67" spans="1:6" ht="12.75">
      <c r="A67" s="3" t="s">
        <v>1676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VLOOKUP(A67,'IN-12-11'!A67:D941,4)</f>
        <v>309.97</v>
      </c>
      <c r="F67" s="69">
        <f>(D67*E67)</f>
        <v>0.61994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346</v>
      </c>
      <c r="B69" s="391" t="s">
        <v>188</v>
      </c>
      <c r="C69" s="77" t="str">
        <f>Fecha</f>
        <v>NOV/12</v>
      </c>
      <c r="D69" s="48"/>
      <c r="E69" s="48"/>
      <c r="F69" s="392">
        <f>SUM(F71:F78)</f>
        <v>39.7754748</v>
      </c>
      <c r="G69" s="41"/>
    </row>
    <row r="70" spans="1:7" ht="13.5" thickBot="1">
      <c r="A70" s="7" t="s">
        <v>345</v>
      </c>
      <c r="B70" s="7" t="s">
        <v>1766</v>
      </c>
      <c r="C70" s="78" t="s">
        <v>344</v>
      </c>
      <c r="D70" s="49" t="s">
        <v>1914</v>
      </c>
      <c r="E70" s="50"/>
      <c r="F70" s="68"/>
      <c r="G70" s="42" t="s">
        <v>1976</v>
      </c>
    </row>
    <row r="71" spans="1:6" ht="13.5" thickTop="1">
      <c r="A71" s="82" t="s">
        <v>350</v>
      </c>
      <c r="D71" s="51"/>
      <c r="E71" s="51"/>
      <c r="F71" s="69"/>
    </row>
    <row r="72" spans="1:6" ht="12.75">
      <c r="A72" s="3" t="s">
        <v>74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VLOOKUP(A72,'IN-12-11'!A72:D946,4)</f>
        <v>34.06</v>
      </c>
      <c r="F72" s="69">
        <f>(D72*E72)</f>
        <v>17.03</v>
      </c>
    </row>
    <row r="73" spans="1:6" ht="12.75">
      <c r="A73" s="3" t="s">
        <v>1812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VLOOKUP(A73,'IN-12-11'!A73:D947,4)</f>
        <v>14.6567</v>
      </c>
      <c r="F73" s="69">
        <f>(D73*E73)</f>
        <v>2.1105648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VLOOKUP(A76,'IN-12-11'!A76:D950,4)</f>
        <v>39.41</v>
      </c>
      <c r="F76" s="69">
        <f>(D76*E76)</f>
        <v>19.705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VLOOKUP(A78,'IN-12-11'!A78:D952,4)</f>
        <v>309.97</v>
      </c>
      <c r="F78" s="69">
        <f>(D78*E78)</f>
        <v>0.9299100000000001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1769</v>
      </c>
      <c r="C2" s="77" t="str">
        <f>Fecha</f>
        <v>NOV/12</v>
      </c>
      <c r="D2" s="48"/>
      <c r="E2" s="48"/>
      <c r="F2" s="392">
        <f>SUM(F5:F7)</f>
        <v>112.927535</v>
      </c>
      <c r="G2" s="41"/>
    </row>
    <row r="3" spans="1:7" ht="13.5" thickBot="1">
      <c r="A3" s="7" t="s">
        <v>345</v>
      </c>
      <c r="B3" s="7" t="s">
        <v>1770</v>
      </c>
      <c r="C3" s="78" t="s">
        <v>344</v>
      </c>
      <c r="D3" s="49" t="s">
        <v>1798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1703</v>
      </c>
      <c r="B5" s="4" t="str">
        <f>VLOOKUP(A5,'IN-12-11'!$A$5:$D$441,2)</f>
        <v>vidrio doble transparente</v>
      </c>
      <c r="C5" s="4" t="str">
        <f>VLOOKUP(A5,'IN-12-11'!$A$5:$D$441,3)</f>
        <v>m2</v>
      </c>
      <c r="D5" s="51">
        <v>1.05</v>
      </c>
      <c r="E5" s="93">
        <f>VLOOKUP(A5,'IN-12-11'!$A$5:$D$441,4)</f>
        <v>70.0167</v>
      </c>
      <c r="F5" s="69">
        <f>(D5*E5)</f>
        <v>73.51753500000001</v>
      </c>
    </row>
    <row r="6" spans="1:6" ht="12.75">
      <c r="A6" s="82" t="s">
        <v>351</v>
      </c>
      <c r="D6" s="51"/>
      <c r="E6" s="93"/>
      <c r="F6" s="69"/>
    </row>
    <row r="7" spans="1:6" ht="12.75">
      <c r="A7" s="3" t="s">
        <v>1675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3">
        <f>VLOOKUP(A7,'IN-12-11'!$A$5:$D$441,4)</f>
        <v>39.41</v>
      </c>
      <c r="F7" s="69">
        <f>(D7*E7)</f>
        <v>39.41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880"/>
  <sheetViews>
    <sheetView showGridLines="0" zoomScale="75" zoomScaleNormal="75" zoomScalePageLayoutView="0" workbookViewId="0" topLeftCell="A1">
      <pane ySplit="5" topLeftCell="A691" activePane="bottomLeft" state="frozen"/>
      <selection pane="topLeft" activeCell="A1" sqref="A1"/>
      <selection pane="bottomLeft" activeCell="D700" sqref="D700"/>
    </sheetView>
  </sheetViews>
  <sheetFormatPr defaultColWidth="9.796875" defaultRowHeight="15"/>
  <cols>
    <col min="1" max="1" width="9.3984375" style="31" customWidth="1"/>
    <col min="2" max="2" width="37.3984375" style="15" customWidth="1"/>
    <col min="3" max="3" width="5.796875" style="15" customWidth="1"/>
    <col min="4" max="4" width="15.59765625" style="90" customWidth="1"/>
    <col min="5" max="5" width="11.796875" style="207" hidden="1" customWidth="1"/>
    <col min="6" max="6" width="20.296875" style="226" hidden="1" customWidth="1"/>
    <col min="7" max="7" width="11.69921875" style="138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.2890625" style="15" customWidth="1"/>
    <col min="17" max="16384" width="9.796875" style="15" customWidth="1"/>
  </cols>
  <sheetData>
    <row r="1" spans="1:15" ht="30.75" customHeight="1">
      <c r="A1" s="409" t="str">
        <f>CONCATENATE("PRECIOS TESTIGOS ",D3)</f>
        <v>PRECIOS TESTIGOS NOV/12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9" ht="7.5" customHeight="1">
      <c r="A2" s="408" t="s">
        <v>367</v>
      </c>
      <c r="B2" s="408"/>
      <c r="C2" s="408"/>
      <c r="D2" s="408"/>
      <c r="E2" s="408"/>
      <c r="F2" s="408"/>
      <c r="G2" s="408"/>
      <c r="I2" s="137" t="s">
        <v>1291</v>
      </c>
    </row>
    <row r="3" spans="1:8" ht="15.75">
      <c r="A3" s="31" t="s">
        <v>367</v>
      </c>
      <c r="C3" s="273" t="s">
        <v>1517</v>
      </c>
      <c r="D3" s="205" t="s">
        <v>2065</v>
      </c>
      <c r="F3" s="208"/>
      <c r="G3" s="138" t="s">
        <v>367</v>
      </c>
      <c r="H3" s="89" t="s">
        <v>367</v>
      </c>
    </row>
    <row r="4" spans="5:7" ht="6.75" customHeight="1" thickBot="1">
      <c r="E4" s="206" t="s">
        <v>367</v>
      </c>
      <c r="F4" s="208" t="s">
        <v>1159</v>
      </c>
      <c r="G4" s="138" t="s">
        <v>367</v>
      </c>
    </row>
    <row r="5" spans="1:15" ht="26.25" customHeight="1" thickBot="1">
      <c r="A5" s="272" t="s">
        <v>1959</v>
      </c>
      <c r="B5" s="271" t="s">
        <v>1960</v>
      </c>
      <c r="C5" s="271" t="s">
        <v>178</v>
      </c>
      <c r="D5" s="277" t="s">
        <v>35</v>
      </c>
      <c r="E5" s="269" t="s">
        <v>33</v>
      </c>
      <c r="F5" s="209" t="s">
        <v>34</v>
      </c>
      <c r="G5" s="162" t="s">
        <v>367</v>
      </c>
      <c r="L5" s="139" t="s">
        <v>1196</v>
      </c>
      <c r="O5" s="270" t="s">
        <v>1515</v>
      </c>
    </row>
    <row r="6" spans="1:15" ht="15.75" customHeight="1">
      <c r="A6" s="169" t="s">
        <v>1720</v>
      </c>
      <c r="B6" s="170" t="s">
        <v>1999</v>
      </c>
      <c r="C6" s="171" t="s">
        <v>2000</v>
      </c>
      <c r="D6" s="278">
        <f>LOOKUP(A6,'[4]PT OCT 2011'!$A$2:$A$730,'[4]PT OCT 2011'!$D$2:$D$730)</f>
        <v>359.8367</v>
      </c>
      <c r="E6" s="233">
        <v>107.619</v>
      </c>
      <c r="F6" s="210" t="s">
        <v>367</v>
      </c>
      <c r="G6" s="172" t="s">
        <v>367</v>
      </c>
      <c r="H6" s="140" t="s">
        <v>1195</v>
      </c>
      <c r="L6" s="15">
        <v>3</v>
      </c>
      <c r="O6" s="275" t="e">
        <f>#REF!/#REF!</f>
        <v>#REF!</v>
      </c>
    </row>
    <row r="7" spans="1:15" ht="15">
      <c r="A7" s="173" t="s">
        <v>1677</v>
      </c>
      <c r="B7" s="164" t="s">
        <v>1997</v>
      </c>
      <c r="C7" s="163" t="s">
        <v>2005</v>
      </c>
      <c r="D7" s="278">
        <f>LOOKUP(A7,'[4]PT OCT 2011'!$A$2:$A$730,'[4]PT OCT 2011'!$D$2:$D$730)</f>
        <v>5.6933</v>
      </c>
      <c r="E7" s="234">
        <v>1.831</v>
      </c>
      <c r="F7" s="211" t="s">
        <v>367</v>
      </c>
      <c r="G7" s="174" t="s">
        <v>367</v>
      </c>
      <c r="L7" s="15">
        <v>3</v>
      </c>
      <c r="O7" s="275" t="e">
        <f>D7/#REF!</f>
        <v>#REF!</v>
      </c>
    </row>
    <row r="8" spans="1:15" ht="15">
      <c r="A8" s="173" t="s">
        <v>395</v>
      </c>
      <c r="B8" s="164" t="s">
        <v>396</v>
      </c>
      <c r="C8" s="163" t="s">
        <v>397</v>
      </c>
      <c r="D8" s="278">
        <f>LOOKUP(A8,'[4]PT OCT 2011'!$A$2:$A$730,'[4]PT OCT 2011'!$D$2:$D$730)</f>
        <v>6091.4733</v>
      </c>
      <c r="E8" s="234">
        <v>1831.067</v>
      </c>
      <c r="F8" s="211" t="s">
        <v>367</v>
      </c>
      <c r="G8" s="174" t="s">
        <v>367</v>
      </c>
      <c r="H8" s="141"/>
      <c r="L8" s="15">
        <v>3</v>
      </c>
      <c r="O8" s="275" t="e">
        <f>D8/#REF!</f>
        <v>#REF!</v>
      </c>
    </row>
    <row r="9" spans="1:15" ht="15">
      <c r="A9" s="173" t="s">
        <v>1682</v>
      </c>
      <c r="B9" s="164" t="s">
        <v>1998</v>
      </c>
      <c r="C9" s="163" t="s">
        <v>2005</v>
      </c>
      <c r="D9" s="278">
        <f>LOOKUP(A9,'[4]PT OCT 2011'!$A$2:$A$730,'[4]PT OCT 2011'!$D$2:$D$730)</f>
        <v>8.695</v>
      </c>
      <c r="E9" s="234">
        <v>2.353</v>
      </c>
      <c r="F9" s="212" t="s">
        <v>367</v>
      </c>
      <c r="G9" s="174" t="s">
        <v>367</v>
      </c>
      <c r="L9" s="15">
        <v>3</v>
      </c>
      <c r="O9" s="275" t="e">
        <f>D9/#REF!</f>
        <v>#REF!</v>
      </c>
    </row>
    <row r="10" spans="1:15" ht="15">
      <c r="A10" s="173" t="s">
        <v>1699</v>
      </c>
      <c r="B10" s="164" t="s">
        <v>36</v>
      </c>
      <c r="C10" s="163" t="s">
        <v>178</v>
      </c>
      <c r="D10" s="278">
        <f>LOOKUP(A10,'[4]PT OCT 2011'!$A$2:$A$730,'[4]PT OCT 2011'!$D$2:$D$730)</f>
        <v>10.4367</v>
      </c>
      <c r="E10" s="234">
        <v>4.118</v>
      </c>
      <c r="F10" s="212" t="s">
        <v>367</v>
      </c>
      <c r="G10" s="174" t="s">
        <v>367</v>
      </c>
      <c r="L10" s="15">
        <v>3</v>
      </c>
      <c r="O10" s="275" t="e">
        <f>D10/#REF!</f>
        <v>#REF!</v>
      </c>
    </row>
    <row r="11" spans="1:18" ht="15">
      <c r="A11" s="173" t="s">
        <v>1806</v>
      </c>
      <c r="B11" s="164" t="s">
        <v>2001</v>
      </c>
      <c r="C11" s="163" t="s">
        <v>2005</v>
      </c>
      <c r="D11" s="278">
        <f>LOOKUP(A11,'[4]PT OCT 2011'!$A$2:$A$730,'[4]PT OCT 2011'!$D$2:$D$730)</f>
        <v>7.535</v>
      </c>
      <c r="E11" s="234">
        <v>2.235</v>
      </c>
      <c r="F11" s="212" t="s">
        <v>367</v>
      </c>
      <c r="G11" s="174" t="s">
        <v>367</v>
      </c>
      <c r="L11" s="15">
        <v>3</v>
      </c>
      <c r="O11" s="275" t="e">
        <f>D11/#REF!</f>
        <v>#REF!</v>
      </c>
      <c r="Q11" s="314"/>
      <c r="R11" s="314"/>
    </row>
    <row r="12" spans="1:18" ht="15">
      <c r="A12" s="173" t="s">
        <v>1801</v>
      </c>
      <c r="B12" s="164" t="s">
        <v>2002</v>
      </c>
      <c r="C12" s="163" t="s">
        <v>2005</v>
      </c>
      <c r="D12" s="278">
        <f>LOOKUP(A12,'[4]PT OCT 2011'!$A$2:$A$730,'[4]PT OCT 2011'!$D$2:$D$730)</f>
        <v>7.2933</v>
      </c>
      <c r="E12" s="234">
        <v>2.86</v>
      </c>
      <c r="F12" s="212" t="s">
        <v>367</v>
      </c>
      <c r="G12" s="174" t="s">
        <v>367</v>
      </c>
      <c r="L12" s="15">
        <v>3</v>
      </c>
      <c r="O12" s="275" t="e">
        <f>D12/#REF!</f>
        <v>#REF!</v>
      </c>
      <c r="Q12" s="315"/>
      <c r="R12" s="316"/>
    </row>
    <row r="13" spans="1:18" ht="15">
      <c r="A13" s="173" t="s">
        <v>398</v>
      </c>
      <c r="B13" s="164" t="s">
        <v>399</v>
      </c>
      <c r="C13" s="163" t="s">
        <v>2005</v>
      </c>
      <c r="D13" s="278">
        <f>LOOKUP(A13,'[4]PT OCT 2011'!$A$2:$A$730,'[4]PT OCT 2011'!$D$2:$D$730)</f>
        <v>7.0567</v>
      </c>
      <c r="E13" s="234">
        <v>2.738</v>
      </c>
      <c r="F13" s="212" t="s">
        <v>367</v>
      </c>
      <c r="G13" s="175" t="s">
        <v>367</v>
      </c>
      <c r="J13" s="158"/>
      <c r="L13" s="15">
        <v>3</v>
      </c>
      <c r="O13" s="275" t="e">
        <f>D13/#REF!</f>
        <v>#REF!</v>
      </c>
      <c r="Q13" s="315"/>
      <c r="R13" s="316"/>
    </row>
    <row r="14" spans="1:18" ht="15">
      <c r="A14" s="173" t="s">
        <v>1824</v>
      </c>
      <c r="B14" s="164" t="s">
        <v>2044</v>
      </c>
      <c r="C14" s="163" t="s">
        <v>1849</v>
      </c>
      <c r="D14" s="278">
        <f>LOOKUP(A14,'[4]PT OCT 2011'!$A$2:$A$730,'[4]PT OCT 2011'!$D$2:$D$730)</f>
        <v>20.25</v>
      </c>
      <c r="E14" s="234">
        <v>5.975</v>
      </c>
      <c r="F14" s="212" t="s">
        <v>367</v>
      </c>
      <c r="G14" s="174" t="s">
        <v>367</v>
      </c>
      <c r="H14" s="15">
        <v>5047</v>
      </c>
      <c r="L14" s="15">
        <v>3</v>
      </c>
      <c r="O14" s="275" t="e">
        <f>D14/#REF!</f>
        <v>#REF!</v>
      </c>
      <c r="P14" s="140"/>
      <c r="Q14" s="317"/>
      <c r="R14" s="316"/>
    </row>
    <row r="15" spans="1:18" ht="15">
      <c r="A15" s="173" t="s">
        <v>400</v>
      </c>
      <c r="B15" s="164" t="s">
        <v>401</v>
      </c>
      <c r="C15" s="163" t="s">
        <v>2005</v>
      </c>
      <c r="D15" s="278">
        <f>LOOKUP(A15,'[4]PT OCT 2011'!$A$2:$A$730,'[4]PT OCT 2011'!$D$2:$D$730)</f>
        <v>6.8833</v>
      </c>
      <c r="E15" s="234">
        <v>2.747</v>
      </c>
      <c r="F15" s="212" t="s">
        <v>367</v>
      </c>
      <c r="G15" s="175" t="s">
        <v>367</v>
      </c>
      <c r="H15" s="15">
        <f>4-16</f>
        <v>-12</v>
      </c>
      <c r="L15" s="15">
        <v>3</v>
      </c>
      <c r="O15" s="275" t="e">
        <f>D15/#REF!</f>
        <v>#REF!</v>
      </c>
      <c r="P15" s="140"/>
      <c r="Q15" s="317"/>
      <c r="R15" s="316"/>
    </row>
    <row r="16" spans="1:18" ht="15" customHeight="1">
      <c r="A16" s="173" t="s">
        <v>1825</v>
      </c>
      <c r="B16" s="164" t="s">
        <v>2045</v>
      </c>
      <c r="C16" s="163" t="s">
        <v>1849</v>
      </c>
      <c r="D16" s="278">
        <f>LOOKUP(A16,'[4]PT OCT 2011'!$A$2:$A$730,'[4]PT OCT 2011'!$D$2:$D$730)</f>
        <v>0.4867</v>
      </c>
      <c r="E16" s="234">
        <v>0.146</v>
      </c>
      <c r="F16" s="212" t="s">
        <v>367</v>
      </c>
      <c r="G16" s="174" t="s">
        <v>367</v>
      </c>
      <c r="H16" s="15">
        <f>5-55</f>
        <v>-50</v>
      </c>
      <c r="L16" s="15">
        <v>3</v>
      </c>
      <c r="O16" s="275" t="e">
        <f>D16/#REF!</f>
        <v>#REF!</v>
      </c>
      <c r="P16" s="140"/>
      <c r="Q16" s="315"/>
      <c r="R16" s="316"/>
    </row>
    <row r="17" spans="1:16" ht="15">
      <c r="A17" s="173" t="s">
        <v>402</v>
      </c>
      <c r="B17" s="164" t="s">
        <v>403</v>
      </c>
      <c r="C17" s="163" t="s">
        <v>404</v>
      </c>
      <c r="D17" s="278">
        <f>LOOKUP(A17,'[4]PT OCT 2011'!$A$2:$A$730,'[4]PT OCT 2011'!$D$2:$D$730)</f>
        <v>0.53</v>
      </c>
      <c r="E17" s="234">
        <v>0.162</v>
      </c>
      <c r="F17" s="212" t="s">
        <v>367</v>
      </c>
      <c r="G17" s="175" t="s">
        <v>367</v>
      </c>
      <c r="H17" s="15">
        <f>5-10</f>
        <v>-5</v>
      </c>
      <c r="L17" s="15">
        <v>3</v>
      </c>
      <c r="O17" s="275" t="e">
        <f>D17/#REF!</f>
        <v>#REF!</v>
      </c>
      <c r="P17" s="140"/>
    </row>
    <row r="18" spans="1:16" ht="15">
      <c r="A18" s="173" t="s">
        <v>1827</v>
      </c>
      <c r="B18" s="164" t="s">
        <v>2046</v>
      </c>
      <c r="C18" s="163" t="s">
        <v>1849</v>
      </c>
      <c r="D18" s="278">
        <f>LOOKUP(A18,'[4]PT OCT 2011'!$A$2:$A$730,'[4]PT OCT 2011'!$D$2:$D$730)</f>
        <v>2.6933</v>
      </c>
      <c r="E18" s="234">
        <v>0.996</v>
      </c>
      <c r="F18" s="212" t="s">
        <v>367</v>
      </c>
      <c r="G18" s="174" t="s">
        <v>367</v>
      </c>
      <c r="H18" s="15">
        <f>24-1</f>
        <v>23</v>
      </c>
      <c r="L18" s="15">
        <v>3</v>
      </c>
      <c r="O18" s="275" t="e">
        <f>D18/#REF!</f>
        <v>#REF!</v>
      </c>
      <c r="P18" s="140"/>
    </row>
    <row r="19" spans="1:16" ht="15">
      <c r="A19" s="173" t="s">
        <v>1293</v>
      </c>
      <c r="B19" s="164" t="s">
        <v>1294</v>
      </c>
      <c r="C19" s="163" t="s">
        <v>1849</v>
      </c>
      <c r="D19" s="278">
        <f>LOOKUP(A19,'[4]PT OCT 2011'!$A$2:$A$730,'[4]PT OCT 2011'!$D$2:$D$730)</f>
        <v>3.0567</v>
      </c>
      <c r="E19" s="235">
        <f>1.35/1.21</f>
        <v>1.115702479338843</v>
      </c>
      <c r="F19" s="212" t="s">
        <v>367</v>
      </c>
      <c r="G19" s="174" t="s">
        <v>367</v>
      </c>
      <c r="H19" s="15">
        <f>24-2</f>
        <v>22</v>
      </c>
      <c r="O19" s="275" t="e">
        <f>D19/#REF!</f>
        <v>#REF!</v>
      </c>
      <c r="P19" s="140"/>
    </row>
    <row r="20" spans="1:16" ht="15">
      <c r="A20" s="370" t="s">
        <v>1304</v>
      </c>
      <c r="B20" s="164" t="s">
        <v>1305</v>
      </c>
      <c r="C20" s="163" t="s">
        <v>178</v>
      </c>
      <c r="D20" s="278">
        <f>LOOKUP(A20,'[4]PT OCT 2011'!$A$2:$A$730,'[4]PT OCT 2011'!$D$2:$D$730)</f>
        <v>0.425</v>
      </c>
      <c r="E20" s="234">
        <v>0.149</v>
      </c>
      <c r="F20" s="212" t="s">
        <v>367</v>
      </c>
      <c r="G20" s="174" t="s">
        <v>367</v>
      </c>
      <c r="O20" s="275" t="e">
        <f>D20/#REF!</f>
        <v>#REF!</v>
      </c>
      <c r="P20" s="140"/>
    </row>
    <row r="21" spans="1:16" ht="15">
      <c r="A21" s="370" t="s">
        <v>1826</v>
      </c>
      <c r="B21" s="164" t="s">
        <v>2047</v>
      </c>
      <c r="C21" s="163" t="s">
        <v>178</v>
      </c>
      <c r="D21" s="278">
        <f>LOOKUP(A21,'[4]PT OCT 2011'!$A$2:$A$730,'[4]PT OCT 2011'!$D$2:$D$730)</f>
        <v>3.48</v>
      </c>
      <c r="E21" s="234">
        <v>0.793</v>
      </c>
      <c r="F21" s="212" t="s">
        <v>367</v>
      </c>
      <c r="G21" s="174" t="s">
        <v>367</v>
      </c>
      <c r="L21" s="15">
        <v>3</v>
      </c>
      <c r="O21" s="275" t="e">
        <f>D21/#REF!</f>
        <v>#REF!</v>
      </c>
      <c r="P21" s="140"/>
    </row>
    <row r="22" spans="1:16" ht="15">
      <c r="A22" s="370" t="s">
        <v>405</v>
      </c>
      <c r="B22" s="164" t="s">
        <v>1275</v>
      </c>
      <c r="C22" s="163" t="s">
        <v>178</v>
      </c>
      <c r="D22" s="278">
        <f>LOOKUP(A22,'[4]PT OCT 2011'!$A$2:$A$730,'[4]PT OCT 2011'!$D$2:$D$730)</f>
        <v>13.075</v>
      </c>
      <c r="E22" s="234">
        <v>2.659</v>
      </c>
      <c r="F22" s="212" t="s">
        <v>367</v>
      </c>
      <c r="G22" s="175" t="s">
        <v>367</v>
      </c>
      <c r="H22" s="15">
        <v>5722</v>
      </c>
      <c r="L22" s="15">
        <v>3</v>
      </c>
      <c r="O22" s="275" t="e">
        <f>D22/#REF!</f>
        <v>#REF!</v>
      </c>
      <c r="P22" s="140"/>
    </row>
    <row r="23" spans="1:16" ht="15">
      <c r="A23" s="370" t="s">
        <v>406</v>
      </c>
      <c r="B23" s="164" t="s">
        <v>407</v>
      </c>
      <c r="C23" s="163" t="s">
        <v>397</v>
      </c>
      <c r="D23" s="278">
        <f>LOOKUP(A23,'[4]PT OCT 2011'!$A$2:$A$730,'[4]PT OCT 2011'!$D$2:$D$730)</f>
        <v>8925.14</v>
      </c>
      <c r="E23" s="236">
        <f>(4270)/1.21*1.06</f>
        <v>3740.6611570247937</v>
      </c>
      <c r="F23" s="212"/>
      <c r="G23" s="176"/>
      <c r="H23" s="15" t="s">
        <v>1252</v>
      </c>
      <c r="L23" s="15">
        <v>1</v>
      </c>
      <c r="O23" s="275" t="e">
        <f>D23/#REF!</f>
        <v>#REF!</v>
      </c>
      <c r="P23" s="140"/>
    </row>
    <row r="24" spans="1:16" ht="15">
      <c r="A24" s="370" t="s">
        <v>1551</v>
      </c>
      <c r="B24" s="164" t="s">
        <v>1552</v>
      </c>
      <c r="C24" s="163" t="s">
        <v>1849</v>
      </c>
      <c r="D24" s="278">
        <f>LOOKUP(A24,'[4]PT OCT 2011'!$A$2:$A$730,'[4]PT OCT 2011'!$D$2:$D$730)</f>
        <v>9.38</v>
      </c>
      <c r="E24" s="236"/>
      <c r="F24" s="212"/>
      <c r="G24" s="176"/>
      <c r="O24" s="275"/>
      <c r="P24" s="140"/>
    </row>
    <row r="25" spans="1:16" ht="15">
      <c r="A25" s="370" t="s">
        <v>1553</v>
      </c>
      <c r="B25" s="164" t="s">
        <v>1554</v>
      </c>
      <c r="C25" s="163" t="s">
        <v>1849</v>
      </c>
      <c r="D25" s="278">
        <f>LOOKUP(A25,'[4]PT OCT 2011'!$A$2:$A$730,'[4]PT OCT 2011'!$D$2:$D$730)</f>
        <v>12.72</v>
      </c>
      <c r="E25" s="236"/>
      <c r="F25" s="212"/>
      <c r="G25" s="176"/>
      <c r="O25" s="275"/>
      <c r="P25" s="140"/>
    </row>
    <row r="26" spans="1:16" ht="15">
      <c r="A26" s="370" t="s">
        <v>37</v>
      </c>
      <c r="B26" s="164" t="s">
        <v>38</v>
      </c>
      <c r="C26" s="163" t="s">
        <v>348</v>
      </c>
      <c r="D26" s="278">
        <f>LOOKUP(A26,'[4]PT OCT 2011'!$A$2:$A$730,'[4]PT OCT 2011'!$D$2:$D$730)</f>
        <v>6.545</v>
      </c>
      <c r="E26" s="237">
        <v>1.537</v>
      </c>
      <c r="F26" s="211" t="s">
        <v>367</v>
      </c>
      <c r="G26" s="174"/>
      <c r="H26" s="140" t="s">
        <v>1161</v>
      </c>
      <c r="L26" s="15">
        <v>2</v>
      </c>
      <c r="O26" s="275" t="e">
        <f>D26/#REF!</f>
        <v>#REF!</v>
      </c>
      <c r="P26" s="140"/>
    </row>
    <row r="27" spans="1:16" ht="15">
      <c r="A27" s="370" t="s">
        <v>39</v>
      </c>
      <c r="B27" s="164" t="s">
        <v>40</v>
      </c>
      <c r="C27" s="163" t="s">
        <v>348</v>
      </c>
      <c r="D27" s="278">
        <f>LOOKUP(A27,'[4]PT OCT 2011'!$A$2:$A$730,'[4]PT OCT 2011'!$D$2:$D$730)</f>
        <v>4.29</v>
      </c>
      <c r="E27" s="237">
        <v>1.139</v>
      </c>
      <c r="F27" s="211" t="s">
        <v>367</v>
      </c>
      <c r="G27" s="174"/>
      <c r="L27" s="15">
        <v>2</v>
      </c>
      <c r="O27" s="275" t="e">
        <f>D27/#REF!</f>
        <v>#REF!</v>
      </c>
      <c r="P27" s="140"/>
    </row>
    <row r="28" spans="1:16" ht="15" hidden="1">
      <c r="A28" s="173" t="s">
        <v>41</v>
      </c>
      <c r="B28" s="164" t="s">
        <v>42</v>
      </c>
      <c r="C28" s="163" t="s">
        <v>1976</v>
      </c>
      <c r="D28" s="278">
        <f>LOOKUP(A28,'[4]PT OCT 2011'!$A$2:$A$730,'[4]PT OCT 2011'!$D$2:$D$730)</f>
        <v>4.29</v>
      </c>
      <c r="E28" s="237">
        <f>0.64*D195</f>
        <v>3.1039999999999996</v>
      </c>
      <c r="F28" s="213"/>
      <c r="G28" s="177"/>
      <c r="L28" s="15">
        <v>1</v>
      </c>
      <c r="O28" s="275" t="e">
        <f>D28/#REF!</f>
        <v>#REF!</v>
      </c>
      <c r="P28" s="140"/>
    </row>
    <row r="29" spans="1:16" ht="15">
      <c r="A29" s="370" t="s">
        <v>1056</v>
      </c>
      <c r="B29" s="164" t="s">
        <v>513</v>
      </c>
      <c r="C29" s="163" t="s">
        <v>1976</v>
      </c>
      <c r="D29" s="278">
        <f>LOOKUP(A29,'[4]PT OCT 2011'!$A$2:$A$730,'[4]PT OCT 2011'!$D$2:$D$730)</f>
        <v>4.29</v>
      </c>
      <c r="E29" s="237"/>
      <c r="F29" s="213"/>
      <c r="G29" s="177"/>
      <c r="O29" s="275"/>
      <c r="P29" s="140"/>
    </row>
    <row r="30" spans="1:16" ht="15">
      <c r="A30" s="173" t="s">
        <v>1406</v>
      </c>
      <c r="B30" s="164" t="s">
        <v>43</v>
      </c>
      <c r="C30" s="163" t="s">
        <v>1976</v>
      </c>
      <c r="D30" s="278">
        <f>LOOKUP(A30,'[4]PT OCT 2011'!$A$2:$A$730,'[4]PT OCT 2011'!$D$2:$D$730)</f>
        <v>19.4</v>
      </c>
      <c r="E30" s="237">
        <v>3.58</v>
      </c>
      <c r="F30" s="213"/>
      <c r="G30" s="177"/>
      <c r="L30" s="15">
        <v>1</v>
      </c>
      <c r="O30" s="275" t="e">
        <f>D30/#REF!</f>
        <v>#REF!</v>
      </c>
      <c r="P30" s="140"/>
    </row>
    <row r="31" spans="1:15" ht="15" hidden="1">
      <c r="A31" s="173" t="s">
        <v>1980</v>
      </c>
      <c r="B31" s="164" t="s">
        <v>1981</v>
      </c>
      <c r="C31" s="163" t="s">
        <v>348</v>
      </c>
      <c r="D31" s="278">
        <f>LOOKUP(A31,'[4]PT OCT 2011'!$A$2:$A$730,'[4]PT OCT 2011'!$D$2:$D$730)</f>
        <v>19.4</v>
      </c>
      <c r="E31" s="237">
        <v>3.683</v>
      </c>
      <c r="F31" s="213"/>
      <c r="G31" s="177"/>
      <c r="I31" s="15">
        <v>17454.6</v>
      </c>
      <c r="L31" s="15">
        <v>1</v>
      </c>
      <c r="O31" s="275" t="e">
        <f>D31/#REF!</f>
        <v>#REF!</v>
      </c>
    </row>
    <row r="32" spans="1:15" ht="15">
      <c r="A32" s="173" t="s">
        <v>1404</v>
      </c>
      <c r="B32" s="164" t="s">
        <v>1938</v>
      </c>
      <c r="C32" s="163" t="s">
        <v>348</v>
      </c>
      <c r="D32" s="278">
        <f>LOOKUP(A32,'[4]PT OCT 2011'!$A$2:$A$730,'[4]PT OCT 2011'!$D$2:$D$730)</f>
        <v>4.4867</v>
      </c>
      <c r="E32" s="237">
        <v>0.689</v>
      </c>
      <c r="F32" s="211" t="s">
        <v>367</v>
      </c>
      <c r="G32" s="177"/>
      <c r="I32" s="15">
        <v>9203.98</v>
      </c>
      <c r="J32" s="15">
        <f>I31-I32</f>
        <v>8250.619999999999</v>
      </c>
      <c r="L32" s="15">
        <v>2</v>
      </c>
      <c r="O32" s="275" t="e">
        <f>D32/#REF!</f>
        <v>#REF!</v>
      </c>
    </row>
    <row r="33" spans="1:15" ht="15">
      <c r="A33" s="371" t="s">
        <v>1405</v>
      </c>
      <c r="B33" s="164" t="s">
        <v>1975</v>
      </c>
      <c r="C33" s="163" t="s">
        <v>1976</v>
      </c>
      <c r="D33" s="278">
        <f>LOOKUP(A33,'[4]PT OCT 2011'!$A$2:$A$730,'[4]PT OCT 2011'!$D$2:$D$730)</f>
        <v>15.73</v>
      </c>
      <c r="E33" s="237">
        <v>7.594</v>
      </c>
      <c r="F33" s="213"/>
      <c r="G33" s="177"/>
      <c r="I33" s="15">
        <f>I31/I32</f>
        <v>1.8964187232045266</v>
      </c>
      <c r="L33" s="15">
        <v>1</v>
      </c>
      <c r="O33" s="275" t="e">
        <f>D33/#REF!</f>
        <v>#REF!</v>
      </c>
    </row>
    <row r="34" spans="1:15" ht="15">
      <c r="A34" s="173" t="s">
        <v>1977</v>
      </c>
      <c r="B34" s="164" t="s">
        <v>1978</v>
      </c>
      <c r="C34" s="163" t="s">
        <v>1976</v>
      </c>
      <c r="D34" s="278">
        <f>LOOKUP(A34,'[4]PT OCT 2011'!$A$2:$A$730,'[4]PT OCT 2011'!$D$2:$D$730)</f>
        <v>16.835</v>
      </c>
      <c r="E34" s="237">
        <f>4.365/1.21</f>
        <v>3.607438016528926</v>
      </c>
      <c r="F34" s="213"/>
      <c r="G34" s="177"/>
      <c r="L34" s="15">
        <v>1</v>
      </c>
      <c r="O34" s="275" t="e">
        <f>D34/#REF!</f>
        <v>#REF!</v>
      </c>
    </row>
    <row r="35" spans="1:15" ht="15">
      <c r="A35" s="173" t="s">
        <v>44</v>
      </c>
      <c r="B35" s="164" t="s">
        <v>45</v>
      </c>
      <c r="C35" s="163" t="s">
        <v>2005</v>
      </c>
      <c r="D35" s="278">
        <f>LOOKUP(A35,'[4]PT OCT 2011'!$A$2:$A$730,'[4]PT OCT 2011'!$D$2:$D$730)</f>
        <v>4.58</v>
      </c>
      <c r="E35" s="237">
        <v>2.177</v>
      </c>
      <c r="F35" s="211" t="s">
        <v>367</v>
      </c>
      <c r="G35" s="176"/>
      <c r="H35" s="142"/>
      <c r="L35" s="15">
        <v>2</v>
      </c>
      <c r="O35" s="275" t="e">
        <f>D35/#REF!</f>
        <v>#REF!</v>
      </c>
    </row>
    <row r="36" spans="1:15" ht="15">
      <c r="A36" s="173" t="s">
        <v>46</v>
      </c>
      <c r="B36" s="164" t="s">
        <v>47</v>
      </c>
      <c r="C36" s="163" t="s">
        <v>1976</v>
      </c>
      <c r="D36" s="278">
        <f>LOOKUP(A36,'[4]PT OCT 2011'!$A$2:$A$730,'[4]PT OCT 2011'!$D$2:$D$730)</f>
        <v>2.15</v>
      </c>
      <c r="E36" s="235"/>
      <c r="F36" s="211"/>
      <c r="G36" s="178">
        <f>1.15/1.8</f>
        <v>0.6388888888888888</v>
      </c>
      <c r="H36" s="142" t="s">
        <v>1263</v>
      </c>
      <c r="J36" s="15" t="s">
        <v>1162</v>
      </c>
      <c r="L36" s="15">
        <v>1</v>
      </c>
      <c r="O36" s="275" t="e">
        <f>D36/#REF!</f>
        <v>#REF!</v>
      </c>
    </row>
    <row r="37" spans="1:15" ht="15">
      <c r="A37" s="173" t="s">
        <v>1379</v>
      </c>
      <c r="B37" s="164" t="s">
        <v>1465</v>
      </c>
      <c r="C37" s="163" t="s">
        <v>2005</v>
      </c>
      <c r="D37" s="278">
        <f>LOOKUP(A37,'[4]PT OCT 2011'!$A$2:$A$730,'[4]PT OCT 2011'!$D$2:$D$730)</f>
        <v>3.36</v>
      </c>
      <c r="E37" s="234">
        <v>1.389</v>
      </c>
      <c r="F37" s="211"/>
      <c r="G37" s="174"/>
      <c r="H37" s="142"/>
      <c r="O37" s="275" t="e">
        <f>D37/#REF!</f>
        <v>#REF!</v>
      </c>
    </row>
    <row r="38" spans="1:15" ht="15">
      <c r="A38" s="173" t="s">
        <v>1693</v>
      </c>
      <c r="B38" s="164" t="s">
        <v>1979</v>
      </c>
      <c r="C38" s="163" t="s">
        <v>348</v>
      </c>
      <c r="D38" s="278">
        <f>LOOKUP(A38,'[4]PT OCT 2011'!$A$2:$A$730,'[4]PT OCT 2011'!$D$2:$D$730)</f>
        <v>2.97</v>
      </c>
      <c r="E38" s="237">
        <v>1.772</v>
      </c>
      <c r="F38" s="211" t="s">
        <v>367</v>
      </c>
      <c r="G38" s="179"/>
      <c r="L38" s="15">
        <v>2</v>
      </c>
      <c r="O38" s="275" t="e">
        <f>D38/#REF!</f>
        <v>#REF!</v>
      </c>
    </row>
    <row r="39" spans="1:15" ht="15">
      <c r="A39" s="173" t="s">
        <v>1684</v>
      </c>
      <c r="B39" s="164" t="s">
        <v>1983</v>
      </c>
      <c r="C39" s="163" t="s">
        <v>1976</v>
      </c>
      <c r="D39" s="278">
        <f>LOOKUP(A39,'[4]PT OCT 2011'!$A$2:$A$730,'[4]PT OCT 2011'!$D$2:$D$730)</f>
        <v>7.85</v>
      </c>
      <c r="E39" s="235"/>
      <c r="F39" s="213"/>
      <c r="G39" s="178">
        <v>3.3</v>
      </c>
      <c r="H39" s="15" t="s">
        <v>1262</v>
      </c>
      <c r="L39" s="15">
        <v>1</v>
      </c>
      <c r="O39" s="275" t="e">
        <f>D39/#REF!</f>
        <v>#REF!</v>
      </c>
    </row>
    <row r="40" spans="1:15" ht="15">
      <c r="A40" s="173" t="s">
        <v>393</v>
      </c>
      <c r="B40" s="164" t="s">
        <v>1280</v>
      </c>
      <c r="C40" s="163" t="s">
        <v>178</v>
      </c>
      <c r="D40" s="278">
        <f>LOOKUP(A40,'[4]PT OCT 2011'!$A$2:$A$730,'[4]PT OCT 2011'!$D$2:$D$730)</f>
        <v>22.89</v>
      </c>
      <c r="E40" s="235"/>
      <c r="F40" s="213"/>
      <c r="G40" s="178">
        <f>10/1.22/0.61</f>
        <v>13.437248051599031</v>
      </c>
      <c r="H40" s="15">
        <f>0.605*1.215</f>
        <v>0.735075</v>
      </c>
      <c r="L40" s="15">
        <v>1</v>
      </c>
      <c r="O40" s="275" t="e">
        <f>D40/#REF!</f>
        <v>#REF!</v>
      </c>
    </row>
    <row r="41" spans="1:15" ht="15">
      <c r="A41" s="173" t="s">
        <v>408</v>
      </c>
      <c r="B41" s="164" t="s">
        <v>409</v>
      </c>
      <c r="C41" s="163" t="s">
        <v>2005</v>
      </c>
      <c r="D41" s="278">
        <f>LOOKUP(A41,'[4]PT OCT 2011'!$A$2:$A$730,'[4]PT OCT 2011'!$D$2:$D$730)</f>
        <v>4.3</v>
      </c>
      <c r="E41" s="238"/>
      <c r="F41" s="212"/>
      <c r="G41" s="180">
        <f>3/1.21</f>
        <v>2.479338842975207</v>
      </c>
      <c r="H41" s="159" t="s">
        <v>1292</v>
      </c>
      <c r="L41" s="15">
        <v>1</v>
      </c>
      <c r="O41" s="275" t="e">
        <f>D41/#REF!</f>
        <v>#REF!</v>
      </c>
    </row>
    <row r="42" spans="1:15" ht="15">
      <c r="A42" s="173" t="s">
        <v>1680</v>
      </c>
      <c r="B42" s="164" t="s">
        <v>2022</v>
      </c>
      <c r="C42" s="163" t="s">
        <v>2023</v>
      </c>
      <c r="D42" s="278">
        <f>LOOKUP(A42,'[4]PT OCT 2011'!$A$2:$A$730,'[4]PT OCT 2011'!$D$2:$D$730)</f>
        <v>101</v>
      </c>
      <c r="E42" s="237">
        <v>17</v>
      </c>
      <c r="F42" s="212" t="s">
        <v>367</v>
      </c>
      <c r="G42" s="174"/>
      <c r="H42" s="15" t="s">
        <v>1163</v>
      </c>
      <c r="L42" s="15">
        <v>2</v>
      </c>
      <c r="O42" s="275" t="e">
        <f>D42/#REF!</f>
        <v>#REF!</v>
      </c>
    </row>
    <row r="43" spans="1:15" ht="15">
      <c r="A43" s="173" t="s">
        <v>48</v>
      </c>
      <c r="B43" s="164" t="s">
        <v>410</v>
      </c>
      <c r="C43" s="163" t="s">
        <v>2023</v>
      </c>
      <c r="D43" s="278">
        <f>LOOKUP(A43,'[4]PT OCT 2011'!$A$2:$A$730,'[4]PT OCT 2011'!$D$2:$D$730)</f>
        <v>96</v>
      </c>
      <c r="E43" s="237">
        <v>12.5</v>
      </c>
      <c r="F43" s="212" t="s">
        <v>367</v>
      </c>
      <c r="G43" s="174"/>
      <c r="L43" s="15">
        <v>2</v>
      </c>
      <c r="O43" s="275" t="e">
        <f>D43/#REF!</f>
        <v>#REF!</v>
      </c>
    </row>
    <row r="44" spans="1:15" ht="15">
      <c r="A44" s="173" t="s">
        <v>1679</v>
      </c>
      <c r="B44" s="164" t="s">
        <v>2025</v>
      </c>
      <c r="C44" s="163" t="s">
        <v>2023</v>
      </c>
      <c r="D44" s="278">
        <f>LOOKUP(A44,'[4]PT OCT 2011'!$A$2:$A$730,'[4]PT OCT 2011'!$D$2:$D$730)</f>
        <v>90.4</v>
      </c>
      <c r="E44" s="237">
        <v>14.25</v>
      </c>
      <c r="F44" s="212" t="s">
        <v>367</v>
      </c>
      <c r="G44" s="174"/>
      <c r="H44" s="142"/>
      <c r="L44" s="15">
        <v>2</v>
      </c>
      <c r="O44" s="275" t="e">
        <f>D44/#REF!</f>
        <v>#REF!</v>
      </c>
    </row>
    <row r="45" spans="1:15" ht="15">
      <c r="A45" s="173" t="s">
        <v>1690</v>
      </c>
      <c r="B45" s="164" t="s">
        <v>2024</v>
      </c>
      <c r="C45" s="163" t="s">
        <v>2023</v>
      </c>
      <c r="D45" s="278">
        <f>LOOKUP(A45,'[4]PT OCT 2011'!$A$2:$A$730,'[4]PT OCT 2011'!$D$2:$D$730)</f>
        <v>97.34</v>
      </c>
      <c r="E45" s="237">
        <v>15.75</v>
      </c>
      <c r="F45" s="212" t="s">
        <v>367</v>
      </c>
      <c r="G45" s="174"/>
      <c r="H45" s="142"/>
      <c r="L45" s="15">
        <v>2</v>
      </c>
      <c r="O45" s="275" t="e">
        <f>D45/#REF!</f>
        <v>#REF!</v>
      </c>
    </row>
    <row r="46" spans="1:15" ht="15">
      <c r="A46" s="173" t="s">
        <v>1951</v>
      </c>
      <c r="B46" s="164" t="s">
        <v>2</v>
      </c>
      <c r="C46" s="163" t="s">
        <v>2023</v>
      </c>
      <c r="D46" s="278">
        <f>LOOKUP(A46,'[4]PT OCT 2011'!$A$2:$A$730,'[4]PT OCT 2011'!$D$2:$D$730)</f>
        <v>81.22</v>
      </c>
      <c r="E46" s="237">
        <v>12.75</v>
      </c>
      <c r="F46" s="212" t="s">
        <v>367</v>
      </c>
      <c r="G46" s="174"/>
      <c r="H46" s="142"/>
      <c r="L46" s="15">
        <v>2</v>
      </c>
      <c r="O46" s="275" t="e">
        <f>D46/#REF!</f>
        <v>#REF!</v>
      </c>
    </row>
    <row r="47" spans="1:15" ht="15">
      <c r="A47" s="173" t="s">
        <v>1950</v>
      </c>
      <c r="B47" s="164" t="s">
        <v>3</v>
      </c>
      <c r="C47" s="163" t="s">
        <v>2023</v>
      </c>
      <c r="D47" s="278">
        <f>LOOKUP(A47,'[4]PT OCT 2011'!$A$2:$A$730,'[4]PT OCT 2011'!$D$2:$D$730)</f>
        <v>111.6167</v>
      </c>
      <c r="E47" s="237">
        <v>17</v>
      </c>
      <c r="F47" s="212" t="s">
        <v>367</v>
      </c>
      <c r="G47" s="174"/>
      <c r="H47" s="142"/>
      <c r="L47" s="15">
        <v>2</v>
      </c>
      <c r="O47" s="275" t="e">
        <f>D47/#REF!</f>
        <v>#REF!</v>
      </c>
    </row>
    <row r="48" spans="1:15" ht="15">
      <c r="A48" s="173" t="s">
        <v>411</v>
      </c>
      <c r="B48" s="164" t="s">
        <v>412</v>
      </c>
      <c r="C48" s="163" t="s">
        <v>2023</v>
      </c>
      <c r="D48" s="278">
        <f>LOOKUP(A48,'[4]PT OCT 2011'!$A$2:$A$730,'[4]PT OCT 2011'!$D$2:$D$730)</f>
        <v>75.07</v>
      </c>
      <c r="E48" s="237">
        <v>14.17</v>
      </c>
      <c r="F48" s="212" t="s">
        <v>367</v>
      </c>
      <c r="G48" s="175" t="s">
        <v>367</v>
      </c>
      <c r="L48" s="15">
        <v>1</v>
      </c>
      <c r="O48" s="275" t="e">
        <f>D48/#REF!</f>
        <v>#REF!</v>
      </c>
    </row>
    <row r="49" spans="1:15" ht="15">
      <c r="A49" s="173" t="s">
        <v>49</v>
      </c>
      <c r="B49" s="164" t="s">
        <v>413</v>
      </c>
      <c r="C49" s="163" t="s">
        <v>2023</v>
      </c>
      <c r="D49" s="278">
        <f>LOOKUP(A49,'[4]PT OCT 2011'!$A$2:$A$730,'[4]PT OCT 2011'!$D$2:$D$730)</f>
        <v>78.9</v>
      </c>
      <c r="E49" s="237">
        <v>13.057</v>
      </c>
      <c r="F49" s="212" t="s">
        <v>367</v>
      </c>
      <c r="G49" s="175" t="s">
        <v>367</v>
      </c>
      <c r="L49" s="15">
        <v>3</v>
      </c>
      <c r="O49" s="275" t="e">
        <f>D49/#REF!</f>
        <v>#REF!</v>
      </c>
    </row>
    <row r="50" spans="1:15" ht="15" hidden="1">
      <c r="A50" s="173" t="s">
        <v>414</v>
      </c>
      <c r="B50" s="164" t="s">
        <v>415</v>
      </c>
      <c r="C50" s="163" t="s">
        <v>2023</v>
      </c>
      <c r="D50" s="278">
        <f>LOOKUP(A50,'[4]PT OCT 2011'!$A$2:$A$730,'[4]PT OCT 2011'!$D$2:$D$730)</f>
        <v>71.63</v>
      </c>
      <c r="E50" s="238"/>
      <c r="F50" s="212"/>
      <c r="G50" s="175">
        <v>12.5</v>
      </c>
      <c r="L50" s="15">
        <v>1</v>
      </c>
      <c r="O50" s="275" t="e">
        <f>D50/#REF!</f>
        <v>#REF!</v>
      </c>
    </row>
    <row r="51" spans="1:15" ht="15">
      <c r="A51" s="173" t="s">
        <v>414</v>
      </c>
      <c r="B51" s="164" t="s">
        <v>1245</v>
      </c>
      <c r="C51" s="163" t="s">
        <v>2023</v>
      </c>
      <c r="D51" s="278">
        <f>LOOKUP(A51,'[4]PT OCT 2011'!$A$2:$A$730,'[4]PT OCT 2011'!$D$2:$D$730)</f>
        <v>71.63</v>
      </c>
      <c r="E51" s="237">
        <v>14.17</v>
      </c>
      <c r="F51" s="212" t="s">
        <v>367</v>
      </c>
      <c r="G51" s="175" t="s">
        <v>367</v>
      </c>
      <c r="O51" s="275" t="e">
        <f>D51/#REF!</f>
        <v>#REF!</v>
      </c>
    </row>
    <row r="52" spans="1:15" ht="15">
      <c r="A52" s="173" t="s">
        <v>416</v>
      </c>
      <c r="B52" s="164" t="s">
        <v>417</v>
      </c>
      <c r="C52" s="163" t="s">
        <v>2023</v>
      </c>
      <c r="D52" s="278">
        <f>LOOKUP(A52,'[4]PT OCT 2011'!$A$2:$A$730,'[4]PT OCT 2011'!$D$2:$D$730)</f>
        <v>93.2267</v>
      </c>
      <c r="E52" s="237">
        <v>16.667</v>
      </c>
      <c r="F52" s="212" t="s">
        <v>367</v>
      </c>
      <c r="G52" s="175" t="s">
        <v>367</v>
      </c>
      <c r="L52" s="15">
        <v>3</v>
      </c>
      <c r="O52" s="275" t="e">
        <f>D52/#REF!</f>
        <v>#REF!</v>
      </c>
    </row>
    <row r="53" spans="1:15" ht="15">
      <c r="A53" s="173" t="s">
        <v>1380</v>
      </c>
      <c r="B53" s="164" t="s">
        <v>2009</v>
      </c>
      <c r="C53" s="163" t="s">
        <v>1976</v>
      </c>
      <c r="D53" s="278">
        <f>LOOKUP(A53,'[4]PT OCT 2011'!$A$2:$A$730,'[4]PT OCT 2011'!$D$2:$D$730)</f>
        <v>33.03</v>
      </c>
      <c r="E53" s="237">
        <v>9.106</v>
      </c>
      <c r="F53" s="211" t="s">
        <v>367</v>
      </c>
      <c r="G53" s="177"/>
      <c r="H53" s="1" t="s">
        <v>1171</v>
      </c>
      <c r="L53" s="15">
        <v>2</v>
      </c>
      <c r="O53" s="275" t="e">
        <f>D53/#REF!</f>
        <v>#REF!</v>
      </c>
    </row>
    <row r="54" spans="1:15" ht="15">
      <c r="A54" s="173" t="s">
        <v>1688</v>
      </c>
      <c r="B54" s="164" t="s">
        <v>1988</v>
      </c>
      <c r="C54" s="163" t="s">
        <v>178</v>
      </c>
      <c r="D54" s="278">
        <f>LOOKUP(A54,'[4]PT OCT 2011'!$A$2:$A$730,'[4]PT OCT 2011'!$D$2:$D$730)</f>
        <v>7.02</v>
      </c>
      <c r="E54" s="237">
        <v>1.149</v>
      </c>
      <c r="F54" s="212" t="s">
        <v>367</v>
      </c>
      <c r="G54" s="177" t="s">
        <v>367</v>
      </c>
      <c r="H54" s="1" t="s">
        <v>1296</v>
      </c>
      <c r="L54" s="15">
        <v>2</v>
      </c>
      <c r="O54" s="275" t="e">
        <f>D54/#REF!</f>
        <v>#REF!</v>
      </c>
    </row>
    <row r="55" spans="1:15" ht="15">
      <c r="A55" s="173" t="s">
        <v>1698</v>
      </c>
      <c r="B55" s="164" t="s">
        <v>50</v>
      </c>
      <c r="C55" s="163" t="s">
        <v>1849</v>
      </c>
      <c r="D55" s="278">
        <f>LOOKUP(A55,'[4]PT OCT 2011'!$A$2:$A$730,'[4]PT OCT 2011'!$D$2:$D$730)</f>
        <v>21.6132</v>
      </c>
      <c r="E55" s="237">
        <v>6.351</v>
      </c>
      <c r="F55" s="212"/>
      <c r="G55" s="177" t="s">
        <v>367</v>
      </c>
      <c r="H55" s="1" t="s">
        <v>1253</v>
      </c>
      <c r="L55" s="15">
        <v>1</v>
      </c>
      <c r="O55" s="275" t="e">
        <f>D55/#REF!</f>
        <v>#REF!</v>
      </c>
    </row>
    <row r="56" spans="1:15" ht="15">
      <c r="A56" s="181" t="s">
        <v>1701</v>
      </c>
      <c r="B56" s="164" t="s">
        <v>224</v>
      </c>
      <c r="C56" s="163" t="s">
        <v>178</v>
      </c>
      <c r="D56" s="278">
        <f>LOOKUP(A56,'[4]PT OCT 2011'!$A$2:$A$730,'[4]PT OCT 2011'!$D$2:$D$730)</f>
        <v>1962.81</v>
      </c>
      <c r="E56" s="234">
        <v>334.251</v>
      </c>
      <c r="F56" s="212" t="s">
        <v>367</v>
      </c>
      <c r="G56" s="182" t="s">
        <v>367</v>
      </c>
      <c r="H56" s="1" t="s">
        <v>1264</v>
      </c>
      <c r="L56" s="15">
        <v>3</v>
      </c>
      <c r="O56" s="275" t="e">
        <f>D56/#REF!</f>
        <v>#REF!</v>
      </c>
    </row>
    <row r="57" spans="1:15" ht="15" hidden="1">
      <c r="A57" s="181" t="s">
        <v>51</v>
      </c>
      <c r="B57" s="164" t="s">
        <v>339</v>
      </c>
      <c r="C57" s="163" t="s">
        <v>178</v>
      </c>
      <c r="D57" s="278">
        <f>LOOKUP(A57,'[4]PT OCT 2011'!$A$2:$A$730,'[4]PT OCT 2011'!$D$2:$D$730)</f>
        <v>1962.81</v>
      </c>
      <c r="E57" s="237"/>
      <c r="F57" s="212"/>
      <c r="G57" s="183" t="s">
        <v>1277</v>
      </c>
      <c r="H57" s="1"/>
      <c r="J57" s="143" t="s">
        <v>1276</v>
      </c>
      <c r="L57" s="15">
        <v>1</v>
      </c>
      <c r="O57" s="275" t="e">
        <f>D57/#REF!</f>
        <v>#REF!</v>
      </c>
    </row>
    <row r="58" spans="1:15" ht="15">
      <c r="A58" s="181" t="s">
        <v>52</v>
      </c>
      <c r="B58" s="164" t="s">
        <v>225</v>
      </c>
      <c r="C58" s="163" t="s">
        <v>178</v>
      </c>
      <c r="D58" s="278">
        <f>LOOKUP(A58,'[4]PT OCT 2011'!$A$2:$A$730,'[4]PT OCT 2011'!$D$2:$D$730)</f>
        <v>58.15</v>
      </c>
      <c r="E58" s="234">
        <v>14.165</v>
      </c>
      <c r="F58" s="212" t="s">
        <v>367</v>
      </c>
      <c r="G58" s="183" t="s">
        <v>367</v>
      </c>
      <c r="H58" s="1"/>
      <c r="L58" s="15">
        <v>2</v>
      </c>
      <c r="O58" s="275" t="e">
        <f>D58/#REF!</f>
        <v>#REF!</v>
      </c>
    </row>
    <row r="59" spans="1:15" ht="15">
      <c r="A59" s="181" t="s">
        <v>1702</v>
      </c>
      <c r="B59" s="164" t="s">
        <v>2020</v>
      </c>
      <c r="C59" s="163" t="s">
        <v>178</v>
      </c>
      <c r="D59" s="278">
        <f>LOOKUP(A59,'[4]PT OCT 2011'!$A$2:$A$730,'[4]PT OCT 2011'!$D$2:$D$730)</f>
        <v>374.19</v>
      </c>
      <c r="E59" s="234">
        <v>93.331</v>
      </c>
      <c r="F59" s="212" t="s">
        <v>1466</v>
      </c>
      <c r="G59" s="182" t="s">
        <v>367</v>
      </c>
      <c r="H59" s="1"/>
      <c r="L59" s="15">
        <v>3</v>
      </c>
      <c r="O59" s="275" t="e">
        <f>D59/#REF!</f>
        <v>#REF!</v>
      </c>
    </row>
    <row r="60" spans="1:15" ht="15">
      <c r="A60" s="181" t="s">
        <v>1381</v>
      </c>
      <c r="B60" s="164" t="s">
        <v>2021</v>
      </c>
      <c r="C60" s="163" t="s">
        <v>178</v>
      </c>
      <c r="D60" s="278">
        <f>LOOKUP(A60,'[4]PT OCT 2011'!$A$2:$A$730,'[4]PT OCT 2011'!$D$2:$D$730)</f>
        <v>574.57</v>
      </c>
      <c r="E60" s="234">
        <v>281.586</v>
      </c>
      <c r="F60" s="212" t="s">
        <v>367</v>
      </c>
      <c r="G60" s="182" t="s">
        <v>367</v>
      </c>
      <c r="H60" s="1"/>
      <c r="L60" s="15">
        <v>2</v>
      </c>
      <c r="O60" s="275" t="e">
        <f>D60/#REF!</f>
        <v>#REF!</v>
      </c>
    </row>
    <row r="61" spans="1:15" ht="15">
      <c r="A61" s="173" t="s">
        <v>1695</v>
      </c>
      <c r="B61" s="164" t="s">
        <v>55</v>
      </c>
      <c r="C61" s="163" t="s">
        <v>178</v>
      </c>
      <c r="D61" s="278">
        <f>LOOKUP(A61,'[4]PT OCT 2011'!$A$2:$A$730,'[4]PT OCT 2011'!$D$2:$D$730)</f>
        <v>116.53</v>
      </c>
      <c r="E61" s="237">
        <v>35.537</v>
      </c>
      <c r="F61" s="212" t="s">
        <v>367</v>
      </c>
      <c r="G61" s="177" t="s">
        <v>367</v>
      </c>
      <c r="H61" s="1" t="s">
        <v>1295</v>
      </c>
      <c r="L61" s="15">
        <v>1</v>
      </c>
      <c r="O61" s="275" t="e">
        <f>D61/#REF!</f>
        <v>#REF!</v>
      </c>
    </row>
    <row r="62" spans="1:15" ht="15">
      <c r="A62" s="173" t="s">
        <v>1683</v>
      </c>
      <c r="B62" s="164" t="s">
        <v>1990</v>
      </c>
      <c r="C62" s="163" t="s">
        <v>2005</v>
      </c>
      <c r="D62" s="278">
        <f>LOOKUP(A62,'[4]PT OCT 2011'!$A$2:$A$730,'[4]PT OCT 2011'!$D$2:$D$730)</f>
        <v>7.285</v>
      </c>
      <c r="E62" s="237">
        <v>2.148</v>
      </c>
      <c r="F62" s="212" t="s">
        <v>367</v>
      </c>
      <c r="G62" s="174" t="s">
        <v>367</v>
      </c>
      <c r="H62" s="1" t="s">
        <v>1254</v>
      </c>
      <c r="J62" s="15">
        <f>18-16</f>
        <v>2</v>
      </c>
      <c r="L62" s="15">
        <v>3</v>
      </c>
      <c r="O62" s="275" t="e">
        <f>D62/#REF!</f>
        <v>#REF!</v>
      </c>
    </row>
    <row r="63" spans="1:15" ht="15">
      <c r="A63" s="173" t="s">
        <v>1696</v>
      </c>
      <c r="B63" s="164" t="s">
        <v>56</v>
      </c>
      <c r="C63" s="163" t="s">
        <v>178</v>
      </c>
      <c r="D63" s="278">
        <f>LOOKUP(A63,'[4]PT OCT 2011'!$A$2:$A$730,'[4]PT OCT 2011'!$D$2:$D$730)</f>
        <v>118.03</v>
      </c>
      <c r="E63" s="234">
        <v>37.463</v>
      </c>
      <c r="F63" s="212" t="s">
        <v>367</v>
      </c>
      <c r="G63" s="174" t="s">
        <v>367</v>
      </c>
      <c r="H63" s="1">
        <v>1097</v>
      </c>
      <c r="I63" s="134" t="s">
        <v>1303</v>
      </c>
      <c r="L63" s="15">
        <v>3</v>
      </c>
      <c r="O63" s="275" t="e">
        <f>D63/#REF!</f>
        <v>#REF!</v>
      </c>
    </row>
    <row r="64" spans="1:15" ht="15">
      <c r="A64" s="173" t="s">
        <v>57</v>
      </c>
      <c r="B64" s="164" t="s">
        <v>58</v>
      </c>
      <c r="C64" s="163" t="s">
        <v>2005</v>
      </c>
      <c r="D64" s="278">
        <f>LOOKUP(A64,'[4]PT OCT 2011'!$A$2:$A$730,'[4]PT OCT 2011'!$D$2:$D$730)</f>
        <v>7.2933</v>
      </c>
      <c r="E64" s="239">
        <v>2.238</v>
      </c>
      <c r="F64" s="212" t="s">
        <v>367</v>
      </c>
      <c r="G64" s="174" t="s">
        <v>367</v>
      </c>
      <c r="H64" s="1">
        <v>1818</v>
      </c>
      <c r="L64" s="15">
        <v>3</v>
      </c>
      <c r="O64" s="275" t="e">
        <f>D64/#REF!</f>
        <v>#REF!</v>
      </c>
    </row>
    <row r="65" spans="1:15" ht="15">
      <c r="A65" s="173" t="s">
        <v>53</v>
      </c>
      <c r="B65" s="164" t="s">
        <v>54</v>
      </c>
      <c r="C65" s="163" t="s">
        <v>1849</v>
      </c>
      <c r="D65" s="278">
        <f>LOOKUP(A65,'[4]PT OCT 2011'!$A$2:$A$730,'[4]PT OCT 2011'!$D$2:$D$730)</f>
        <v>24.3167</v>
      </c>
      <c r="E65" s="237">
        <v>6.425</v>
      </c>
      <c r="F65" s="212" t="s">
        <v>367</v>
      </c>
      <c r="G65" s="174" t="s">
        <v>367</v>
      </c>
      <c r="H65" s="1">
        <f>13-121</f>
        <v>-108</v>
      </c>
      <c r="L65" s="15">
        <v>3</v>
      </c>
      <c r="O65" s="275" t="e">
        <f>D65/#REF!</f>
        <v>#REF!</v>
      </c>
    </row>
    <row r="66" spans="1:15" ht="15">
      <c r="A66" s="173" t="s">
        <v>1306</v>
      </c>
      <c r="B66" s="164" t="s">
        <v>1308</v>
      </c>
      <c r="C66" s="163" t="s">
        <v>178</v>
      </c>
      <c r="D66" s="278">
        <f>LOOKUP(A66,'[4]PT OCT 2011'!$A$2:$A$730,'[4]PT OCT 2011'!$D$2:$D$730)</f>
        <v>150.0733</v>
      </c>
      <c r="E66" s="237">
        <v>37.276</v>
      </c>
      <c r="F66" s="212" t="s">
        <v>367</v>
      </c>
      <c r="G66" s="174" t="s">
        <v>367</v>
      </c>
      <c r="H66" s="1"/>
      <c r="O66" s="275" t="e">
        <f>D66/#REF!</f>
        <v>#REF!</v>
      </c>
    </row>
    <row r="67" spans="1:15" ht="15">
      <c r="A67" s="173" t="s">
        <v>1307</v>
      </c>
      <c r="B67" s="164" t="s">
        <v>1309</v>
      </c>
      <c r="C67" s="163" t="s">
        <v>178</v>
      </c>
      <c r="D67" s="278">
        <f>LOOKUP(A67,'[4]PT OCT 2011'!$A$2:$A$730,'[4]PT OCT 2011'!$D$2:$D$730)</f>
        <v>66.0667</v>
      </c>
      <c r="E67" s="237">
        <v>19.749</v>
      </c>
      <c r="F67" s="212" t="s">
        <v>367</v>
      </c>
      <c r="G67" s="174" t="s">
        <v>367</v>
      </c>
      <c r="H67" s="1"/>
      <c r="O67" s="275" t="e">
        <f>D67/#REF!</f>
        <v>#REF!</v>
      </c>
    </row>
    <row r="68" spans="1:15" ht="15">
      <c r="A68" s="173" t="s">
        <v>177</v>
      </c>
      <c r="B68" s="164" t="s">
        <v>1281</v>
      </c>
      <c r="C68" s="163" t="s">
        <v>178</v>
      </c>
      <c r="D68" s="278">
        <f>LOOKUP(A68,'[4]PT OCT 2011'!$A$2:$A$730,'[4]PT OCT 2011'!$D$2:$D$730)</f>
        <v>10.66</v>
      </c>
      <c r="E68" s="240">
        <v>3.63</v>
      </c>
      <c r="F68" s="212" t="s">
        <v>367</v>
      </c>
      <c r="G68" s="174" t="s">
        <v>367</v>
      </c>
      <c r="H68" s="1"/>
      <c r="L68" s="15">
        <v>1</v>
      </c>
      <c r="O68" s="275" t="e">
        <f>D68/#REF!</f>
        <v>#REF!</v>
      </c>
    </row>
    <row r="69" spans="1:15" ht="15">
      <c r="A69" s="173" t="s">
        <v>1282</v>
      </c>
      <c r="B69" s="164" t="s">
        <v>1283</v>
      </c>
      <c r="C69" s="163" t="s">
        <v>178</v>
      </c>
      <c r="D69" s="278">
        <f>LOOKUP(A69,'[4]PT OCT 2011'!$A$2:$A$730,'[4]PT OCT 2011'!$D$2:$D$730)</f>
        <v>14.63</v>
      </c>
      <c r="E69" s="240">
        <v>5.08</v>
      </c>
      <c r="F69" s="212" t="s">
        <v>367</v>
      </c>
      <c r="G69" s="174" t="s">
        <v>367</v>
      </c>
      <c r="H69" s="1"/>
      <c r="O69" s="275" t="e">
        <f>D69/#REF!</f>
        <v>#REF!</v>
      </c>
    </row>
    <row r="70" spans="1:15" ht="15">
      <c r="A70" s="173" t="s">
        <v>1594</v>
      </c>
      <c r="B70" s="165" t="s">
        <v>1501</v>
      </c>
      <c r="C70" s="163" t="s">
        <v>178</v>
      </c>
      <c r="D70" s="278">
        <f>LOOKUP(A70,'[4]PT OCT 2011'!$A$2:$A$730,'[4]PT OCT 2011'!$D$2:$D$730)</f>
        <v>1.6519</v>
      </c>
      <c r="E70" s="240">
        <v>0.27</v>
      </c>
      <c r="F70" s="212"/>
      <c r="G70" s="174"/>
      <c r="H70" s="1"/>
      <c r="O70" s="275" t="e">
        <f>D70/#REF!</f>
        <v>#REF!</v>
      </c>
    </row>
    <row r="71" spans="1:15" ht="15">
      <c r="A71" s="173" t="s">
        <v>183</v>
      </c>
      <c r="B71" s="164" t="s">
        <v>20</v>
      </c>
      <c r="C71" s="163" t="s">
        <v>178</v>
      </c>
      <c r="D71" s="278">
        <f>LOOKUP(A71,'[4]PT OCT 2011'!$A$2:$A$730,'[4]PT OCT 2011'!$D$2:$D$730)</f>
        <v>421.49</v>
      </c>
      <c r="E71" s="241">
        <v>99.174</v>
      </c>
      <c r="F71" s="214" t="s">
        <v>367</v>
      </c>
      <c r="G71" s="177" t="s">
        <v>367</v>
      </c>
      <c r="H71" s="1">
        <f>0.78/1.21</f>
        <v>0.6446280991735538</v>
      </c>
      <c r="L71" s="15">
        <v>1</v>
      </c>
      <c r="O71" s="275" t="e">
        <f>D71/#REF!</f>
        <v>#REF!</v>
      </c>
    </row>
    <row r="72" spans="1:15" ht="15">
      <c r="A72" s="173" t="s">
        <v>1595</v>
      </c>
      <c r="B72" s="164" t="s">
        <v>184</v>
      </c>
      <c r="C72" s="163" t="s">
        <v>178</v>
      </c>
      <c r="D72" s="278">
        <f>LOOKUP(A72,'[4]PT OCT 2011'!$A$2:$A$730,'[4]PT OCT 2011'!$D$2:$D$730)</f>
        <v>49.74</v>
      </c>
      <c r="E72" s="242">
        <v>25.564</v>
      </c>
      <c r="F72" s="213" t="s">
        <v>367</v>
      </c>
      <c r="G72" s="174" t="s">
        <v>367</v>
      </c>
      <c r="H72" s="1" t="s">
        <v>1164</v>
      </c>
      <c r="L72" s="15">
        <v>3</v>
      </c>
      <c r="O72" s="275" t="e">
        <f>D72/#REF!</f>
        <v>#REF!</v>
      </c>
    </row>
    <row r="73" spans="1:15" ht="15">
      <c r="A73" s="173" t="s">
        <v>1597</v>
      </c>
      <c r="B73" s="164" t="s">
        <v>1512</v>
      </c>
      <c r="C73" s="163" t="s">
        <v>1849</v>
      </c>
      <c r="D73" s="278">
        <f>LOOKUP(A73,'[4]PT OCT 2011'!$A$2:$A$730,'[4]PT OCT 2011'!$D$2:$D$730)</f>
        <v>4.2673</v>
      </c>
      <c r="E73" s="242"/>
      <c r="F73" s="213"/>
      <c r="G73" s="174"/>
      <c r="H73" s="1"/>
      <c r="O73" s="275" t="e">
        <f>D73/#REF!</f>
        <v>#REF!</v>
      </c>
    </row>
    <row r="74" spans="1:15" ht="15">
      <c r="A74" s="173" t="s">
        <v>1598</v>
      </c>
      <c r="B74" s="164" t="s">
        <v>59</v>
      </c>
      <c r="C74" s="163" t="s">
        <v>1849</v>
      </c>
      <c r="D74" s="278">
        <f>LOOKUP(A74,'[4]PT OCT 2011'!$A$2:$A$730,'[4]PT OCT 2011'!$D$2:$D$730)</f>
        <v>2.3933</v>
      </c>
      <c r="E74" s="234">
        <v>0.552</v>
      </c>
      <c r="F74" s="211" t="s">
        <v>367</v>
      </c>
      <c r="G74" s="174" t="s">
        <v>367</v>
      </c>
      <c r="H74" s="1" t="s">
        <v>1247</v>
      </c>
      <c r="L74" s="15">
        <v>3</v>
      </c>
      <c r="O74" s="275" t="e">
        <f>D74/#REF!</f>
        <v>#REF!</v>
      </c>
    </row>
    <row r="75" spans="1:15" ht="15">
      <c r="A75" s="173" t="s">
        <v>1599</v>
      </c>
      <c r="B75" s="165" t="s">
        <v>1467</v>
      </c>
      <c r="C75" s="163" t="s">
        <v>1849</v>
      </c>
      <c r="D75" s="278">
        <f>LOOKUP(A75,'[4]PT OCT 2011'!$A$2:$A$730,'[4]PT OCT 2011'!$D$2:$D$730)</f>
        <v>10.59</v>
      </c>
      <c r="E75" s="234">
        <v>2.807</v>
      </c>
      <c r="F75" s="211"/>
      <c r="G75" s="174"/>
      <c r="H75" s="1"/>
      <c r="O75" s="275" t="e">
        <f>D75/#REF!</f>
        <v>#REF!</v>
      </c>
    </row>
    <row r="76" spans="1:15" ht="15">
      <c r="A76" s="173" t="s">
        <v>1601</v>
      </c>
      <c r="B76" s="165" t="s">
        <v>1314</v>
      </c>
      <c r="C76" s="163" t="s">
        <v>178</v>
      </c>
      <c r="D76" s="278">
        <f>LOOKUP(A76,'[4]PT OCT 2011'!$A$2:$A$730,'[4]PT OCT 2011'!$D$2:$D$730)</f>
        <v>1.505</v>
      </c>
      <c r="E76" s="234">
        <v>0.426</v>
      </c>
      <c r="F76" s="211"/>
      <c r="G76" s="174"/>
      <c r="H76" s="1"/>
      <c r="O76" s="275" t="e">
        <f>D76/#REF!</f>
        <v>#REF!</v>
      </c>
    </row>
    <row r="77" spans="1:15" ht="15">
      <c r="A77" s="173" t="s">
        <v>1602</v>
      </c>
      <c r="B77" s="165" t="s">
        <v>1493</v>
      </c>
      <c r="C77" s="163" t="s">
        <v>178</v>
      </c>
      <c r="D77" s="278">
        <f>LOOKUP(A77,'[4]PT OCT 2011'!$A$2:$A$730,'[4]PT OCT 2011'!$D$2:$D$730)</f>
        <v>2.66</v>
      </c>
      <c r="E77" s="234">
        <v>0.83</v>
      </c>
      <c r="F77" s="211"/>
      <c r="G77" s="174"/>
      <c r="H77" s="1"/>
      <c r="O77" s="275" t="e">
        <f>D77/#REF!</f>
        <v>#REF!</v>
      </c>
    </row>
    <row r="78" spans="1:15" ht="15">
      <c r="A78" s="173" t="s">
        <v>1603</v>
      </c>
      <c r="B78" s="165" t="s">
        <v>1492</v>
      </c>
      <c r="C78" s="163" t="s">
        <v>178</v>
      </c>
      <c r="D78" s="278">
        <f>LOOKUP(A78,'[4]PT OCT 2011'!$A$2:$A$730,'[4]PT OCT 2011'!$D$2:$D$730)</f>
        <v>1.31</v>
      </c>
      <c r="E78" s="234">
        <v>0.39</v>
      </c>
      <c r="F78" s="211"/>
      <c r="G78" s="174"/>
      <c r="H78" s="1"/>
      <c r="O78" s="275" t="e">
        <f>D78/#REF!</f>
        <v>#REF!</v>
      </c>
    </row>
    <row r="79" spans="1:15" ht="15">
      <c r="A79" s="173" t="s">
        <v>1604</v>
      </c>
      <c r="B79" s="165" t="s">
        <v>1494</v>
      </c>
      <c r="C79" s="163" t="s">
        <v>178</v>
      </c>
      <c r="D79" s="278">
        <f>LOOKUP(A79,'[4]PT OCT 2011'!$A$2:$A$730,'[4]PT OCT 2011'!$D$2:$D$730)</f>
        <v>4.52</v>
      </c>
      <c r="E79" s="234">
        <v>1.3</v>
      </c>
      <c r="F79" s="211"/>
      <c r="G79" s="174"/>
      <c r="H79" s="1"/>
      <c r="O79" s="275" t="e">
        <f>D79/#REF!</f>
        <v>#REF!</v>
      </c>
    </row>
    <row r="80" spans="1:15" ht="15">
      <c r="A80" s="173" t="s">
        <v>1605</v>
      </c>
      <c r="B80" s="164" t="s">
        <v>1992</v>
      </c>
      <c r="C80" s="163" t="s">
        <v>178</v>
      </c>
      <c r="D80" s="278">
        <f>LOOKUP(A80,'[4]PT OCT 2011'!$A$2:$A$730,'[4]PT OCT 2011'!$D$2:$D$730)</f>
        <v>2.66</v>
      </c>
      <c r="E80" s="234">
        <v>0.798</v>
      </c>
      <c r="F80" s="211" t="s">
        <v>367</v>
      </c>
      <c r="G80" s="174" t="s">
        <v>367</v>
      </c>
      <c r="H80" s="1"/>
      <c r="L80" s="15">
        <v>3</v>
      </c>
      <c r="O80" s="275" t="e">
        <f>D80/#REF!</f>
        <v>#REF!</v>
      </c>
    </row>
    <row r="81" spans="1:15" ht="15">
      <c r="A81" s="173" t="s">
        <v>1609</v>
      </c>
      <c r="B81" s="164" t="s">
        <v>226</v>
      </c>
      <c r="C81" s="163" t="s">
        <v>178</v>
      </c>
      <c r="D81" s="278">
        <f>LOOKUP(A81,'[4]PT OCT 2011'!$A$2:$A$730,'[4]PT OCT 2011'!$D$2:$D$730)</f>
        <v>21.6167</v>
      </c>
      <c r="E81" s="234">
        <v>5.395</v>
      </c>
      <c r="F81" s="211" t="s">
        <v>367</v>
      </c>
      <c r="G81" s="174" t="s">
        <v>367</v>
      </c>
      <c r="H81" s="1"/>
      <c r="L81" s="15">
        <v>3</v>
      </c>
      <c r="O81" s="275" t="e">
        <f>D81/#REF!</f>
        <v>#REF!</v>
      </c>
    </row>
    <row r="82" spans="1:15" ht="15">
      <c r="A82" s="184" t="s">
        <v>1610</v>
      </c>
      <c r="B82" s="164" t="s">
        <v>1479</v>
      </c>
      <c r="C82" s="166" t="s">
        <v>178</v>
      </c>
      <c r="D82" s="278">
        <f>LOOKUP(A82,'[4]PT OCT 2011'!$A$2:$A$730,'[4]PT OCT 2011'!$D$2:$D$730)</f>
        <v>25.45</v>
      </c>
      <c r="E82" s="234">
        <v>6.46</v>
      </c>
      <c r="F82" s="215"/>
      <c r="G82" s="177"/>
      <c r="H82" s="1"/>
      <c r="O82" s="275" t="e">
        <f>D82/#REF!</f>
        <v>#REF!</v>
      </c>
    </row>
    <row r="83" spans="1:15" ht="15">
      <c r="A83" s="173" t="s">
        <v>1614</v>
      </c>
      <c r="B83" s="164" t="s">
        <v>227</v>
      </c>
      <c r="C83" s="163" t="s">
        <v>178</v>
      </c>
      <c r="D83" s="278">
        <f>LOOKUP(A83,'[4]PT OCT 2011'!$A$2:$A$730,'[4]PT OCT 2011'!$D$2:$D$730)</f>
        <v>17.3367</v>
      </c>
      <c r="E83" s="234">
        <v>4.059</v>
      </c>
      <c r="F83" s="211" t="s">
        <v>367</v>
      </c>
      <c r="G83" s="174" t="s">
        <v>367</v>
      </c>
      <c r="H83" s="1"/>
      <c r="L83" s="15">
        <v>3</v>
      </c>
      <c r="O83" s="275" t="e">
        <f>D83/#REF!</f>
        <v>#REF!</v>
      </c>
    </row>
    <row r="84" spans="1:15" ht="15">
      <c r="A84" s="173" t="s">
        <v>1621</v>
      </c>
      <c r="B84" s="164" t="s">
        <v>1991</v>
      </c>
      <c r="C84" s="163" t="s">
        <v>178</v>
      </c>
      <c r="D84" s="278">
        <f>LOOKUP(A84,'[4]PT OCT 2011'!$A$2:$A$730,'[4]PT OCT 2011'!$D$2:$D$730)</f>
        <v>15.705</v>
      </c>
      <c r="E84" s="237">
        <v>2.363</v>
      </c>
      <c r="F84" s="211" t="s">
        <v>367</v>
      </c>
      <c r="G84" s="174" t="s">
        <v>367</v>
      </c>
      <c r="H84" s="1"/>
      <c r="L84" s="15">
        <v>3</v>
      </c>
      <c r="O84" s="275" t="e">
        <f>D84/#REF!</f>
        <v>#REF!</v>
      </c>
    </row>
    <row r="85" spans="1:15" ht="15">
      <c r="A85" s="173" t="s">
        <v>1629</v>
      </c>
      <c r="B85" s="164" t="s">
        <v>2026</v>
      </c>
      <c r="C85" s="163" t="s">
        <v>178</v>
      </c>
      <c r="D85" s="278">
        <f>LOOKUP(A85,'[4]PT OCT 2011'!$A$2:$A$730,'[4]PT OCT 2011'!$D$2:$D$730)</f>
        <v>15000</v>
      </c>
      <c r="E85" s="242">
        <f>3500/1.21</f>
        <v>2892.5619834710747</v>
      </c>
      <c r="F85" s="213" t="s">
        <v>367</v>
      </c>
      <c r="G85" s="177"/>
      <c r="H85" s="1"/>
      <c r="L85" s="15">
        <v>2</v>
      </c>
      <c r="O85" s="275" t="e">
        <f>D85/#REF!</f>
        <v>#REF!</v>
      </c>
    </row>
    <row r="86" spans="1:15" ht="15">
      <c r="A86" s="184" t="s">
        <v>1631</v>
      </c>
      <c r="B86" s="165" t="s">
        <v>1310</v>
      </c>
      <c r="C86" s="166" t="s">
        <v>178</v>
      </c>
      <c r="D86" s="278">
        <f>LOOKUP(A86,'[4]PT OCT 2011'!$A$2:$A$730,'[4]PT OCT 2011'!$D$2:$D$730)</f>
        <v>41.84</v>
      </c>
      <c r="E86" s="243"/>
      <c r="F86" s="227">
        <v>12.521</v>
      </c>
      <c r="G86" s="177"/>
      <c r="H86" s="1"/>
      <c r="O86" s="275" t="e">
        <f>D86/#REF!</f>
        <v>#REF!</v>
      </c>
    </row>
    <row r="87" spans="1:15" ht="15">
      <c r="A87" s="184" t="s">
        <v>1632</v>
      </c>
      <c r="B87" s="165" t="s">
        <v>1311</v>
      </c>
      <c r="C87" s="166" t="s">
        <v>178</v>
      </c>
      <c r="D87" s="278">
        <f>LOOKUP(A87,'[4]PT OCT 2011'!$A$2:$A$730,'[4]PT OCT 2011'!$D$2:$D$730)</f>
        <v>137.69</v>
      </c>
      <c r="E87" s="243"/>
      <c r="F87" s="227">
        <f>17.564/1.21</f>
        <v>14.515702479338843</v>
      </c>
      <c r="G87" s="177"/>
      <c r="H87" s="1"/>
      <c r="O87" s="275" t="e">
        <f>D87/#REF!</f>
        <v>#REF!</v>
      </c>
    </row>
    <row r="88" spans="1:15" ht="15" hidden="1">
      <c r="A88" s="184" t="s">
        <v>1503</v>
      </c>
      <c r="B88" s="165" t="s">
        <v>1312</v>
      </c>
      <c r="C88" s="166" t="s">
        <v>178</v>
      </c>
      <c r="D88" s="278">
        <f>LOOKUP(A88,'[4]PT OCT 2011'!$A$2:$A$730,'[4]PT OCT 2011'!$D$2:$D$730)</f>
        <v>137.69</v>
      </c>
      <c r="E88" s="243"/>
      <c r="F88" s="227">
        <f>13.254/1.21</f>
        <v>10.953719008264462</v>
      </c>
      <c r="G88" s="177"/>
      <c r="H88" s="1"/>
      <c r="O88" s="275" t="e">
        <f>D88/#REF!</f>
        <v>#REF!</v>
      </c>
    </row>
    <row r="89" spans="1:15" ht="15" hidden="1">
      <c r="A89" s="184" t="s">
        <v>1504</v>
      </c>
      <c r="B89" s="232" t="s">
        <v>1315</v>
      </c>
      <c r="C89" s="166" t="s">
        <v>178</v>
      </c>
      <c r="D89" s="278">
        <f>LOOKUP(A89,'[4]PT OCT 2011'!$A$2:$A$730,'[4]PT OCT 2011'!$D$2:$D$730)</f>
        <v>137.69</v>
      </c>
      <c r="E89" s="243"/>
      <c r="F89" s="228">
        <v>0.27</v>
      </c>
      <c r="G89" s="177"/>
      <c r="H89" s="1"/>
      <c r="O89" s="275" t="e">
        <f>D89/#REF!</f>
        <v>#REF!</v>
      </c>
    </row>
    <row r="90" spans="1:15" ht="15" hidden="1">
      <c r="A90" s="184" t="s">
        <v>1505</v>
      </c>
      <c r="B90" s="232" t="s">
        <v>1316</v>
      </c>
      <c r="C90" s="166" t="s">
        <v>178</v>
      </c>
      <c r="D90" s="278">
        <f>LOOKUP(A90,'[4]PT OCT 2011'!$A$2:$A$730,'[4]PT OCT 2011'!$D$2:$D$730)</f>
        <v>137.69</v>
      </c>
      <c r="E90" s="243"/>
      <c r="F90" s="228">
        <v>0.63</v>
      </c>
      <c r="G90" s="177"/>
      <c r="H90" s="1"/>
      <c r="O90" s="275" t="e">
        <f>D90/#REF!</f>
        <v>#REF!</v>
      </c>
    </row>
    <row r="91" spans="1:15" ht="15">
      <c r="A91" s="184" t="s">
        <v>1633</v>
      </c>
      <c r="B91" s="165" t="s">
        <v>1317</v>
      </c>
      <c r="C91" s="166" t="s">
        <v>178</v>
      </c>
      <c r="D91" s="278">
        <f>LOOKUP(A91,'[4]PT OCT 2011'!$A$2:$A$730,'[4]PT OCT 2011'!$D$2:$D$730)</f>
        <v>2.12</v>
      </c>
      <c r="E91" s="243"/>
      <c r="F91" s="228">
        <f>0.443/1.21</f>
        <v>0.36611570247933883</v>
      </c>
      <c r="G91" s="177"/>
      <c r="H91" s="1"/>
      <c r="O91" s="275" t="e">
        <f>D91/#REF!</f>
        <v>#REF!</v>
      </c>
    </row>
    <row r="92" spans="1:15" ht="15">
      <c r="A92" s="184" t="s">
        <v>1506</v>
      </c>
      <c r="B92" s="358" t="s">
        <v>436</v>
      </c>
      <c r="C92" s="166" t="s">
        <v>178</v>
      </c>
      <c r="D92" s="278">
        <f>LOOKUP(A92,'[4]PT OCT 2011'!$A$2:$A$730,'[4]PT OCT 2011'!$D$2:$D$730)</f>
        <v>138.905</v>
      </c>
      <c r="E92" s="243"/>
      <c r="F92" s="228">
        <f>3.21/1.21</f>
        <v>2.6528925619834713</v>
      </c>
      <c r="G92" s="177"/>
      <c r="H92" s="1"/>
      <c r="O92" s="275" t="e">
        <f>D92/#REF!</f>
        <v>#REF!</v>
      </c>
    </row>
    <row r="93" spans="1:15" ht="13.5" customHeight="1" hidden="1" thickBot="1">
      <c r="A93" s="231" t="s">
        <v>1507</v>
      </c>
      <c r="B93" s="165" t="s">
        <v>1319</v>
      </c>
      <c r="C93" s="166" t="s">
        <v>178</v>
      </c>
      <c r="D93" s="278">
        <f>LOOKUP(A93,'[4]PT OCT 2011'!$A$2:$A$730,'[4]PT OCT 2011'!$D$2:$D$730)</f>
        <v>9.14</v>
      </c>
      <c r="E93" s="243"/>
      <c r="F93" s="229">
        <f>5.51/1.21</f>
        <v>4.553719008264463</v>
      </c>
      <c r="G93" s="177"/>
      <c r="H93" s="1"/>
      <c r="O93" s="275" t="e">
        <f>D93/#REF!</f>
        <v>#REF!</v>
      </c>
    </row>
    <row r="94" spans="1:15" ht="13.5" customHeight="1" hidden="1" thickBot="1">
      <c r="A94" s="231" t="s">
        <v>1508</v>
      </c>
      <c r="B94" s="165" t="s">
        <v>1320</v>
      </c>
      <c r="C94" s="166" t="s">
        <v>178</v>
      </c>
      <c r="D94" s="278">
        <f>LOOKUP(A94,'[4]PT OCT 2011'!$A$2:$A$730,'[4]PT OCT 2011'!$D$2:$D$730)</f>
        <v>9.14</v>
      </c>
      <c r="E94" s="243"/>
      <c r="F94" s="229">
        <f>6.76/1.21</f>
        <v>5.586776859504132</v>
      </c>
      <c r="G94" s="177"/>
      <c r="H94" s="1"/>
      <c r="O94" s="275" t="e">
        <f>D94/#REF!</f>
        <v>#REF!</v>
      </c>
    </row>
    <row r="95" spans="1:15" ht="15" hidden="1">
      <c r="A95" s="231" t="s">
        <v>1509</v>
      </c>
      <c r="B95" s="165" t="s">
        <v>1321</v>
      </c>
      <c r="C95" s="166" t="s">
        <v>178</v>
      </c>
      <c r="D95" s="278">
        <f>LOOKUP(A95,'[4]PT OCT 2011'!$A$2:$A$730,'[4]PT OCT 2011'!$D$2:$D$730)</f>
        <v>9.14</v>
      </c>
      <c r="E95" s="243"/>
      <c r="F95" s="229">
        <f>5.683/1.21</f>
        <v>4.696694214876033</v>
      </c>
      <c r="G95" s="177"/>
      <c r="H95" s="1"/>
      <c r="O95" s="275" t="e">
        <f>D95/#REF!</f>
        <v>#REF!</v>
      </c>
    </row>
    <row r="96" spans="1:15" ht="15">
      <c r="A96" s="184" t="s">
        <v>1635</v>
      </c>
      <c r="B96" s="165" t="s">
        <v>1322</v>
      </c>
      <c r="C96" s="166" t="s">
        <v>178</v>
      </c>
      <c r="D96" s="278">
        <f>LOOKUP(A96,'[4]PT OCT 2011'!$A$2:$A$730,'[4]PT OCT 2011'!$D$2:$D$730)</f>
        <v>1.66</v>
      </c>
      <c r="E96" s="243"/>
      <c r="F96" s="228">
        <f>0.39/1.21</f>
        <v>0.3223140495867769</v>
      </c>
      <c r="G96" s="177"/>
      <c r="H96" s="1"/>
      <c r="O96" s="275" t="e">
        <f>D96/#REF!</f>
        <v>#REF!</v>
      </c>
    </row>
    <row r="97" spans="1:15" ht="15">
      <c r="A97" s="184" t="s">
        <v>1636</v>
      </c>
      <c r="B97" s="165" t="s">
        <v>1323</v>
      </c>
      <c r="C97" s="166" t="s">
        <v>178</v>
      </c>
      <c r="D97" s="278">
        <f>LOOKUP(A97,'[4]PT OCT 2011'!$A$2:$A$730,'[4]PT OCT 2011'!$D$2:$D$730)</f>
        <v>4.26</v>
      </c>
      <c r="E97" s="243"/>
      <c r="F97" s="228">
        <f>0.755/1.21</f>
        <v>0.6239669421487604</v>
      </c>
      <c r="G97" s="177"/>
      <c r="H97" s="1"/>
      <c r="O97" s="275" t="e">
        <f>D97/#REF!</f>
        <v>#REF!</v>
      </c>
    </row>
    <row r="98" spans="1:15" ht="15">
      <c r="A98" s="184" t="s">
        <v>1637</v>
      </c>
      <c r="B98" s="165" t="s">
        <v>1324</v>
      </c>
      <c r="C98" s="166" t="s">
        <v>178</v>
      </c>
      <c r="D98" s="278">
        <f>LOOKUP(A98,'[4]PT OCT 2011'!$A$2:$A$730,'[4]PT OCT 2011'!$D$2:$D$730)</f>
        <v>5.88</v>
      </c>
      <c r="E98" s="243"/>
      <c r="F98" s="228">
        <f>1.079/1.21</f>
        <v>0.8917355371900826</v>
      </c>
      <c r="G98" s="177"/>
      <c r="H98" s="1"/>
      <c r="O98" s="275" t="e">
        <f>D98/#REF!</f>
        <v>#REF!</v>
      </c>
    </row>
    <row r="99" spans="1:15" ht="15" hidden="1">
      <c r="A99" s="184" t="s">
        <v>1510</v>
      </c>
      <c r="B99" s="232" t="s">
        <v>1325</v>
      </c>
      <c r="C99" s="166" t="s">
        <v>178</v>
      </c>
      <c r="D99" s="278">
        <f>LOOKUP(A99,'[4]PT OCT 2011'!$A$2:$A$730,'[4]PT OCT 2011'!$D$2:$D$730)</f>
        <v>5.88</v>
      </c>
      <c r="E99" s="243"/>
      <c r="F99" s="229">
        <f>E82</f>
        <v>6.46</v>
      </c>
      <c r="G99" s="177"/>
      <c r="H99" s="1"/>
      <c r="O99" s="275" t="e">
        <f>D99/#REF!</f>
        <v>#REF!</v>
      </c>
    </row>
    <row r="100" spans="1:15" ht="15">
      <c r="A100" s="184" t="s">
        <v>1638</v>
      </c>
      <c r="B100" s="165" t="s">
        <v>1326</v>
      </c>
      <c r="C100" s="166" t="s">
        <v>178</v>
      </c>
      <c r="D100" s="278">
        <f>LOOKUP(A100,'[4]PT OCT 2011'!$A$2:$A$730,'[4]PT OCT 2011'!$D$2:$D$730)</f>
        <v>1.19</v>
      </c>
      <c r="E100" s="243"/>
      <c r="F100" s="228">
        <v>0.28</v>
      </c>
      <c r="G100" s="177"/>
      <c r="H100" s="1"/>
      <c r="O100" s="275" t="e">
        <f>D100/#REF!</f>
        <v>#REF!</v>
      </c>
    </row>
    <row r="101" spans="1:15" ht="15" hidden="1">
      <c r="A101" s="231" t="s">
        <v>1327</v>
      </c>
      <c r="B101" s="165" t="s">
        <v>1328</v>
      </c>
      <c r="C101" s="166" t="s">
        <v>178</v>
      </c>
      <c r="D101" s="278">
        <f>LOOKUP(A101,'[4]PT OCT 2011'!$A$2:$A$730,'[4]PT OCT 2011'!$D$2:$D$730)</f>
        <v>10.91</v>
      </c>
      <c r="E101" s="243">
        <f>E78</f>
        <v>0.39</v>
      </c>
      <c r="F101" s="229"/>
      <c r="G101" s="177"/>
      <c r="H101" s="1"/>
      <c r="O101" s="275" t="e">
        <f>D101/#REF!</f>
        <v>#REF!</v>
      </c>
    </row>
    <row r="102" spans="1:15" ht="15">
      <c r="A102" s="184" t="s">
        <v>1639</v>
      </c>
      <c r="B102" s="165" t="s">
        <v>1329</v>
      </c>
      <c r="C102" s="166" t="s">
        <v>178</v>
      </c>
      <c r="D102" s="278">
        <f>LOOKUP(A102,'[4]PT OCT 2011'!$A$2:$A$730,'[4]PT OCT 2011'!$D$2:$D$730)</f>
        <v>5.83</v>
      </c>
      <c r="E102" s="243"/>
      <c r="F102" s="228">
        <v>1.66</v>
      </c>
      <c r="G102" s="177"/>
      <c r="H102" s="1"/>
      <c r="O102" s="275" t="e">
        <f>D102/#REF!</f>
        <v>#REF!</v>
      </c>
    </row>
    <row r="103" spans="1:15" ht="15" hidden="1">
      <c r="A103" s="231" t="s">
        <v>1330</v>
      </c>
      <c r="B103" s="165" t="s">
        <v>1334</v>
      </c>
      <c r="C103" s="166" t="s">
        <v>178</v>
      </c>
      <c r="D103" s="278">
        <f>LOOKUP(A103,'[4]PT OCT 2011'!$A$2:$A$730,'[4]PT OCT 2011'!$D$2:$D$730)</f>
        <v>10.91</v>
      </c>
      <c r="E103" s="244">
        <f>E79</f>
        <v>1.3</v>
      </c>
      <c r="F103" s="229"/>
      <c r="G103" s="177"/>
      <c r="H103" s="1"/>
      <c r="O103" s="275" t="e">
        <f>D103/#REF!</f>
        <v>#REF!</v>
      </c>
    </row>
    <row r="104" spans="1:15" ht="15" hidden="1">
      <c r="A104" s="231" t="s">
        <v>1335</v>
      </c>
      <c r="B104" s="165" t="s">
        <v>1336</v>
      </c>
      <c r="C104" s="166" t="s">
        <v>178</v>
      </c>
      <c r="D104" s="278">
        <f>LOOKUP(A104,'[4]PT OCT 2011'!$A$2:$A$730,'[4]PT OCT 2011'!$D$2:$D$730)</f>
        <v>10.91</v>
      </c>
      <c r="E104" s="243">
        <f>E77</f>
        <v>0.83</v>
      </c>
      <c r="F104" s="229"/>
      <c r="G104" s="185"/>
      <c r="H104" s="1"/>
      <c r="O104" s="275" t="e">
        <f>D104/#REF!</f>
        <v>#REF!</v>
      </c>
    </row>
    <row r="105" spans="1:15" ht="15" hidden="1">
      <c r="A105" s="184" t="s">
        <v>1382</v>
      </c>
      <c r="B105" s="165" t="s">
        <v>1313</v>
      </c>
      <c r="C105" s="166" t="s">
        <v>178</v>
      </c>
      <c r="D105" s="278">
        <f>LOOKUP(A105,'[4]PT OCT 2011'!$A$2:$A$730,'[4]PT OCT 2011'!$D$2:$D$730)</f>
        <v>7.2</v>
      </c>
      <c r="E105" s="243"/>
      <c r="F105" s="227">
        <v>0.325</v>
      </c>
      <c r="G105" s="185"/>
      <c r="H105" s="1"/>
      <c r="O105" s="275" t="e">
        <f>D105/#REF!</f>
        <v>#REF!</v>
      </c>
    </row>
    <row r="106" spans="1:15" ht="15">
      <c r="A106" s="173" t="s">
        <v>1383</v>
      </c>
      <c r="B106" s="164" t="s">
        <v>1993</v>
      </c>
      <c r="C106" s="163" t="s">
        <v>178</v>
      </c>
      <c r="D106" s="278">
        <f>LOOKUP(A106,'[4]PT OCT 2011'!$A$2:$A$730,'[4]PT OCT 2011'!$D$2:$D$730)</f>
        <v>349321.27</v>
      </c>
      <c r="E106" s="245">
        <v>72479.3359</v>
      </c>
      <c r="F106" s="216"/>
      <c r="G106" s="177"/>
      <c r="H106" s="1" t="s">
        <v>1165</v>
      </c>
      <c r="L106" s="15">
        <v>1</v>
      </c>
      <c r="O106" s="275" t="e">
        <f>D106/#REF!</f>
        <v>#REF!</v>
      </c>
    </row>
    <row r="107" spans="1:15" ht="15" hidden="1">
      <c r="A107" s="173" t="s">
        <v>418</v>
      </c>
      <c r="B107" s="164" t="s">
        <v>1993</v>
      </c>
      <c r="C107" s="163" t="s">
        <v>1963</v>
      </c>
      <c r="D107" s="278">
        <f>LOOKUP(A107,'[4]PT OCT 2011'!$A$2:$A$730,'[4]PT OCT 2011'!$D$2:$D$730)</f>
        <v>361650.6075</v>
      </c>
      <c r="E107" s="245">
        <v>0</v>
      </c>
      <c r="F107" s="216"/>
      <c r="G107" s="186"/>
      <c r="H107" s="1"/>
      <c r="K107" s="15">
        <f>87600/1.21</f>
        <v>72396.69421487603</v>
      </c>
      <c r="O107" s="275" t="e">
        <f>D107/#REF!</f>
        <v>#REF!</v>
      </c>
    </row>
    <row r="108" spans="1:15" ht="15">
      <c r="A108" s="173" t="s">
        <v>1384</v>
      </c>
      <c r="B108" s="164" t="s">
        <v>1994</v>
      </c>
      <c r="C108" s="163" t="s">
        <v>178</v>
      </c>
      <c r="D108" s="278">
        <f>LOOKUP(A108,'[4]PT OCT 2011'!$A$2:$A$730,'[4]PT OCT 2011'!$D$2:$D$730)</f>
        <v>69683.26</v>
      </c>
      <c r="E108" s="245">
        <v>12231.4053</v>
      </c>
      <c r="F108" s="212"/>
      <c r="G108" s="186"/>
      <c r="H108" s="1" t="s">
        <v>1165</v>
      </c>
      <c r="L108" s="15">
        <v>1</v>
      </c>
      <c r="O108" s="275" t="e">
        <f>D108/#REF!</f>
        <v>#REF!</v>
      </c>
    </row>
    <row r="109" spans="1:15" ht="15">
      <c r="A109" s="173" t="s">
        <v>1676</v>
      </c>
      <c r="B109" s="164" t="s">
        <v>276</v>
      </c>
      <c r="C109" s="163" t="s">
        <v>1963</v>
      </c>
      <c r="D109" s="278">
        <f>LOOKUP(A109,'[4]PT OCT 2011'!$A$2:$A$730,'[4]PT OCT 2011'!$D$2:$D$730)</f>
        <v>309.97</v>
      </c>
      <c r="E109" s="245">
        <v>72.429</v>
      </c>
      <c r="F109" s="217"/>
      <c r="G109" s="186"/>
      <c r="H109" s="1"/>
      <c r="O109" s="275" t="e">
        <f>D109/#REF!</f>
        <v>#REF!</v>
      </c>
    </row>
    <row r="110" spans="1:15" ht="15">
      <c r="A110" s="173" t="s">
        <v>1681</v>
      </c>
      <c r="B110" s="164" t="s">
        <v>277</v>
      </c>
      <c r="C110" s="163" t="s">
        <v>1963</v>
      </c>
      <c r="D110" s="278">
        <f>LOOKUP(A110,'[4]PT OCT 2011'!$A$2:$A$730,'[4]PT OCT 2011'!$D$2:$D$730)</f>
        <v>444.82</v>
      </c>
      <c r="E110" s="245">
        <v>105.05</v>
      </c>
      <c r="F110" s="217"/>
      <c r="G110" s="177"/>
      <c r="H110" s="1"/>
      <c r="L110" s="15">
        <v>1</v>
      </c>
      <c r="O110" s="275" t="e">
        <f>D110/#REF!</f>
        <v>#REF!</v>
      </c>
    </row>
    <row r="111" spans="1:15" ht="15">
      <c r="A111" s="173" t="s">
        <v>1995</v>
      </c>
      <c r="B111" s="164" t="s">
        <v>278</v>
      </c>
      <c r="C111" s="163" t="s">
        <v>1963</v>
      </c>
      <c r="D111" s="278">
        <f>LOOKUP(A111,'[4]PT OCT 2011'!$A$2:$A$730,'[4]PT OCT 2011'!$D$2:$D$730)</f>
        <v>253.63</v>
      </c>
      <c r="E111" s="245">
        <v>63.716</v>
      </c>
      <c r="F111" s="217"/>
      <c r="G111" s="187"/>
      <c r="H111" s="1"/>
      <c r="L111" s="15">
        <v>1</v>
      </c>
      <c r="O111" s="275" t="e">
        <f>D111/#REF!</f>
        <v>#REF!</v>
      </c>
    </row>
    <row r="112" spans="1:15" ht="15">
      <c r="A112" s="173" t="s">
        <v>2051</v>
      </c>
      <c r="B112" s="164" t="s">
        <v>1996</v>
      </c>
      <c r="C112" s="163" t="s">
        <v>348</v>
      </c>
      <c r="D112" s="278">
        <f>LOOKUP(A112,'[4]PT OCT 2011'!$A$2:$A$730,'[4]PT OCT 2011'!$D$2:$D$730)</f>
        <v>4.98</v>
      </c>
      <c r="E112" s="245">
        <v>1.216</v>
      </c>
      <c r="F112" s="212"/>
      <c r="G112" s="186"/>
      <c r="H112" s="1" t="s">
        <v>1165</v>
      </c>
      <c r="L112" s="15">
        <v>1</v>
      </c>
      <c r="O112" s="275" t="e">
        <f>D112/#REF!</f>
        <v>#REF!</v>
      </c>
    </row>
    <row r="113" spans="1:15" ht="15">
      <c r="A113" s="173" t="s">
        <v>1958</v>
      </c>
      <c r="B113" s="164" t="s">
        <v>116</v>
      </c>
      <c r="C113" s="163" t="s">
        <v>178</v>
      </c>
      <c r="D113" s="278">
        <f>LOOKUP(A113,'[4]PT OCT 2011'!$A$2:$A$730,'[4]PT OCT 2011'!$D$2:$D$730)</f>
        <v>650323.3042</v>
      </c>
      <c r="E113" s="245">
        <v>255078.03</v>
      </c>
      <c r="F113" s="218"/>
      <c r="G113" s="187"/>
      <c r="H113" s="9"/>
      <c r="L113" s="15">
        <v>1</v>
      </c>
      <c r="O113" s="275" t="e">
        <f>D113/#REF!</f>
        <v>#REF!</v>
      </c>
    </row>
    <row r="114" spans="1:15" ht="15">
      <c r="A114" s="173" t="s">
        <v>1952</v>
      </c>
      <c r="B114" s="164" t="s">
        <v>116</v>
      </c>
      <c r="C114" s="163" t="s">
        <v>1963</v>
      </c>
      <c r="D114" s="278">
        <f>LOOKUP(A114,'[4]PT OCT 2011'!$A$2:$A$730,'[4]PT OCT 2011'!$D$2:$D$730)</f>
        <v>256.63</v>
      </c>
      <c r="E114" s="245">
        <v>63.716</v>
      </c>
      <c r="F114" s="217"/>
      <c r="G114" s="186"/>
      <c r="H114" s="9"/>
      <c r="O114" s="275" t="e">
        <f>D114/#REF!</f>
        <v>#REF!</v>
      </c>
    </row>
    <row r="115" spans="1:15" ht="15">
      <c r="A115" s="173" t="s">
        <v>2052</v>
      </c>
      <c r="B115" s="164" t="s">
        <v>118</v>
      </c>
      <c r="C115" s="163" t="s">
        <v>178</v>
      </c>
      <c r="D115" s="278">
        <f>LOOKUP(A115,'[4]PT OCT 2011'!$A$2:$A$730,'[4]PT OCT 2011'!$D$2:$D$730)</f>
        <v>966640.1238</v>
      </c>
      <c r="E115" s="245">
        <v>413569.64</v>
      </c>
      <c r="F115" s="218"/>
      <c r="G115" s="187"/>
      <c r="H115" s="9"/>
      <c r="L115" s="15">
        <v>1</v>
      </c>
      <c r="O115" s="275" t="e">
        <f>D115/#REF!</f>
        <v>#REF!</v>
      </c>
    </row>
    <row r="116" spans="1:15" ht="15">
      <c r="A116" s="173" t="s">
        <v>1853</v>
      </c>
      <c r="B116" s="164" t="s">
        <v>2053</v>
      </c>
      <c r="C116" s="163" t="s">
        <v>1963</v>
      </c>
      <c r="D116" s="278">
        <f>LOOKUP(A116,'[4]PT OCT 2011'!$A$2:$A$730,'[4]PT OCT 2011'!$D$2:$D$730)</f>
        <v>383.98</v>
      </c>
      <c r="E116" s="245">
        <v>105.834</v>
      </c>
      <c r="F116" s="217"/>
      <c r="G116" s="186"/>
      <c r="H116" s="9"/>
      <c r="O116" s="275" t="e">
        <f>D116/#REF!</f>
        <v>#REF!</v>
      </c>
    </row>
    <row r="117" spans="1:15" ht="15">
      <c r="A117" s="173" t="s">
        <v>1876</v>
      </c>
      <c r="B117" s="164" t="s">
        <v>119</v>
      </c>
      <c r="C117" s="163" t="s">
        <v>178</v>
      </c>
      <c r="D117" s="278">
        <f>LOOKUP(A117,'[4]PT OCT 2011'!$A$2:$A$730,'[4]PT OCT 2011'!$D$2:$D$730)</f>
        <v>688802.58</v>
      </c>
      <c r="E117" s="245">
        <v>212400</v>
      </c>
      <c r="F117" s="218"/>
      <c r="G117" s="187"/>
      <c r="H117" s="9"/>
      <c r="I117" s="1" t="s">
        <v>1166</v>
      </c>
      <c r="L117" s="15">
        <v>1</v>
      </c>
      <c r="O117" s="275" t="e">
        <f>D117/#REF!</f>
        <v>#REF!</v>
      </c>
    </row>
    <row r="118" spans="1:15" ht="15">
      <c r="A118" s="173" t="s">
        <v>2054</v>
      </c>
      <c r="B118" s="164" t="s">
        <v>119</v>
      </c>
      <c r="C118" s="163" t="s">
        <v>1963</v>
      </c>
      <c r="D118" s="278">
        <f>LOOKUP(A118,'[4]PT OCT 2011'!$A$2:$A$730,'[4]PT OCT 2011'!$D$2:$D$730)</f>
        <v>309.97</v>
      </c>
      <c r="E118" s="245">
        <v>72.429</v>
      </c>
      <c r="F118" s="217"/>
      <c r="G118" s="186"/>
      <c r="H118" s="9"/>
      <c r="O118" s="274" t="e">
        <f>D118/#REF!</f>
        <v>#REF!</v>
      </c>
    </row>
    <row r="119" spans="1:15" ht="15">
      <c r="A119" s="173" t="s">
        <v>2055</v>
      </c>
      <c r="B119" s="164" t="s">
        <v>117</v>
      </c>
      <c r="C119" s="163" t="s">
        <v>178</v>
      </c>
      <c r="D119" s="278">
        <f>LOOKUP(A119,'[4]PT OCT 2011'!$A$2:$A$730,'[4]PT OCT 2011'!$D$2:$D$730)</f>
        <v>876284.1154</v>
      </c>
      <c r="E119" s="245">
        <v>379549.53</v>
      </c>
      <c r="F119" s="218"/>
      <c r="G119" s="187"/>
      <c r="H119" s="9"/>
      <c r="L119" s="15">
        <v>1</v>
      </c>
      <c r="O119" s="274" t="e">
        <f>D119/#REF!</f>
        <v>#REF!</v>
      </c>
    </row>
    <row r="120" spans="1:15" ht="15">
      <c r="A120" s="173" t="s">
        <v>1875</v>
      </c>
      <c r="B120" s="164" t="s">
        <v>117</v>
      </c>
      <c r="C120" s="163" t="s">
        <v>1963</v>
      </c>
      <c r="D120" s="278">
        <f>LOOKUP(A120,'[4]PT OCT 2011'!$A$2:$A$730,'[4]PT OCT 2011'!$D$2:$D$730)</f>
        <v>297.34</v>
      </c>
      <c r="E120" s="245">
        <v>92.042</v>
      </c>
      <c r="F120" s="217"/>
      <c r="G120" s="186"/>
      <c r="H120" s="9"/>
      <c r="O120" s="274" t="e">
        <f>D120/#REF!</f>
        <v>#REF!</v>
      </c>
    </row>
    <row r="121" spans="1:15" ht="14.25" customHeight="1">
      <c r="A121" s="173" t="s">
        <v>2056</v>
      </c>
      <c r="B121" s="164" t="s">
        <v>2057</v>
      </c>
      <c r="C121" s="163" t="s">
        <v>178</v>
      </c>
      <c r="D121" s="278">
        <f>LOOKUP(A121,'[4]PT OCT 2011'!$A$2:$A$730,'[4]PT OCT 2011'!$D$2:$D$730)</f>
        <v>520594.98</v>
      </c>
      <c r="E121" s="245">
        <v>236000</v>
      </c>
      <c r="F121" s="218"/>
      <c r="G121" s="187"/>
      <c r="H121" s="9"/>
      <c r="L121" s="15">
        <v>1</v>
      </c>
      <c r="O121" s="274" t="e">
        <f>D121/#REF!</f>
        <v>#REF!</v>
      </c>
    </row>
    <row r="122" spans="1:15" ht="15">
      <c r="A122" s="173" t="s">
        <v>2058</v>
      </c>
      <c r="B122" s="164" t="s">
        <v>2057</v>
      </c>
      <c r="C122" s="163" t="s">
        <v>1963</v>
      </c>
      <c r="D122" s="278">
        <f>LOOKUP(A122,'[4]PT OCT 2011'!$A$2:$A$730,'[4]PT OCT 2011'!$D$2:$D$730)</f>
        <v>184.33</v>
      </c>
      <c r="E122" s="245">
        <v>57.27</v>
      </c>
      <c r="F122" s="217"/>
      <c r="G122" s="186"/>
      <c r="H122" s="9"/>
      <c r="I122" s="160" t="s">
        <v>1468</v>
      </c>
      <c r="O122" s="274" t="e">
        <f>D122/#REF!</f>
        <v>#REF!</v>
      </c>
    </row>
    <row r="123" spans="1:15" ht="15">
      <c r="A123" s="173" t="s">
        <v>2059</v>
      </c>
      <c r="B123" s="164" t="s">
        <v>2060</v>
      </c>
      <c r="C123" s="163" t="s">
        <v>178</v>
      </c>
      <c r="D123" s="278">
        <f>LOOKUP(A123,'[4]PT OCT 2011'!$A$2:$A$730,'[4]PT OCT 2011'!$D$2:$D$730)</f>
        <v>709529.57</v>
      </c>
      <c r="E123" s="245">
        <v>374650</v>
      </c>
      <c r="F123" s="218"/>
      <c r="G123" s="187"/>
      <c r="H123" s="9"/>
      <c r="L123" s="15">
        <v>1</v>
      </c>
      <c r="O123" s="274" t="e">
        <f>D123/#REF!</f>
        <v>#REF!</v>
      </c>
    </row>
    <row r="124" spans="1:15" ht="15">
      <c r="A124" s="173" t="s">
        <v>1854</v>
      </c>
      <c r="B124" s="164" t="s">
        <v>2060</v>
      </c>
      <c r="C124" s="163" t="s">
        <v>1963</v>
      </c>
      <c r="D124" s="278">
        <f>LOOKUP(A124,'[4]PT OCT 2011'!$A$2:$A$730,'[4]PT OCT 2011'!$D$2:$D$730)</f>
        <v>256.81</v>
      </c>
      <c r="E124" s="245">
        <v>86.679</v>
      </c>
      <c r="F124" s="217"/>
      <c r="G124" s="186"/>
      <c r="H124" s="142"/>
      <c r="O124" s="274" t="e">
        <f>D124/#REF!</f>
        <v>#REF!</v>
      </c>
    </row>
    <row r="125" spans="1:15" ht="15">
      <c r="A125" s="173" t="s">
        <v>2061</v>
      </c>
      <c r="B125" s="164" t="s">
        <v>229</v>
      </c>
      <c r="C125" s="163" t="s">
        <v>178</v>
      </c>
      <c r="D125" s="278">
        <f>LOOKUP(A125,'[4]PT OCT 2011'!$A$2:$A$730,'[4]PT OCT 2011'!$D$2:$D$730)</f>
        <v>986901.35</v>
      </c>
      <c r="E125" s="245">
        <v>295000</v>
      </c>
      <c r="F125" s="218"/>
      <c r="G125" s="187"/>
      <c r="H125" s="9"/>
      <c r="L125" s="15">
        <v>1</v>
      </c>
      <c r="O125" s="274" t="e">
        <f>D125/#REF!</f>
        <v>#REF!</v>
      </c>
    </row>
    <row r="126" spans="1:15" ht="15">
      <c r="A126" s="173" t="s">
        <v>2063</v>
      </c>
      <c r="B126" s="164" t="s">
        <v>2062</v>
      </c>
      <c r="C126" s="163" t="s">
        <v>1963</v>
      </c>
      <c r="D126" s="278">
        <f>LOOKUP(A126,'[4]PT OCT 2011'!$A$2:$A$730,'[4]PT OCT 2011'!$D$2:$D$730)</f>
        <v>444.82</v>
      </c>
      <c r="E126" s="245">
        <v>105.05</v>
      </c>
      <c r="F126" s="217"/>
      <c r="G126" s="186"/>
      <c r="H126" s="9"/>
      <c r="O126" s="274" t="e">
        <f>D126/#REF!</f>
        <v>#REF!</v>
      </c>
    </row>
    <row r="127" spans="1:15" ht="15">
      <c r="A127" s="173" t="s">
        <v>2064</v>
      </c>
      <c r="B127" s="164" t="s">
        <v>230</v>
      </c>
      <c r="C127" s="163" t="s">
        <v>178</v>
      </c>
      <c r="D127" s="278">
        <f>LOOKUP(A127,'[4]PT OCT 2011'!$A$2:$A$730,'[4]PT OCT 2011'!$D$2:$D$730)</f>
        <v>380117.52</v>
      </c>
      <c r="E127" s="245">
        <v>177000</v>
      </c>
      <c r="F127" s="218"/>
      <c r="G127" s="187"/>
      <c r="H127" s="9"/>
      <c r="L127" s="15">
        <v>1</v>
      </c>
      <c r="O127" s="274" t="e">
        <f>D127/#REF!</f>
        <v>#REF!</v>
      </c>
    </row>
    <row r="128" spans="1:15" ht="15">
      <c r="A128" s="173" t="s">
        <v>1</v>
      </c>
      <c r="B128" s="164" t="s">
        <v>0</v>
      </c>
      <c r="C128" s="163" t="s">
        <v>1963</v>
      </c>
      <c r="D128" s="278">
        <f>LOOKUP(A128,'[4]PT OCT 2011'!$A$2:$A$730,'[4]PT OCT 2011'!$D$2:$D$730)</f>
        <v>159.96</v>
      </c>
      <c r="E128" s="245">
        <v>43.075</v>
      </c>
      <c r="F128" s="217"/>
      <c r="G128" s="186"/>
      <c r="H128" s="9"/>
      <c r="O128" s="274" t="e">
        <f>D128/#REF!</f>
        <v>#REF!</v>
      </c>
    </row>
    <row r="129" spans="1:15" ht="15">
      <c r="A129" s="173" t="s">
        <v>4</v>
      </c>
      <c r="B129" s="164" t="s">
        <v>228</v>
      </c>
      <c r="C129" s="163" t="s">
        <v>178</v>
      </c>
      <c r="D129" s="278">
        <f>LOOKUP(A129,'[4]PT OCT 2011'!$A$2:$A$730,'[4]PT OCT 2011'!$D$2:$D$730)</f>
        <v>1307511.5019</v>
      </c>
      <c r="E129" s="245">
        <v>610060</v>
      </c>
      <c r="F129" s="218"/>
      <c r="G129" s="187"/>
      <c r="H129" s="9"/>
      <c r="L129" s="15">
        <v>1</v>
      </c>
      <c r="O129" s="274" t="e">
        <f>D129/#REF!</f>
        <v>#REF!</v>
      </c>
    </row>
    <row r="130" spans="1:15" ht="15">
      <c r="A130" s="173" t="s">
        <v>273</v>
      </c>
      <c r="B130" s="164" t="s">
        <v>228</v>
      </c>
      <c r="C130" s="163" t="s">
        <v>1963</v>
      </c>
      <c r="D130" s="278">
        <f>LOOKUP(A130,'[4]PT OCT 2011'!$A$2:$A$730,'[4]PT OCT 2011'!$D$2:$D$730)</f>
        <v>410.2</v>
      </c>
      <c r="E130" s="245">
        <v>135.452</v>
      </c>
      <c r="F130" s="217"/>
      <c r="G130" s="185"/>
      <c r="H130" s="9"/>
      <c r="O130" s="274" t="e">
        <f>D130/#REF!</f>
        <v>#REF!</v>
      </c>
    </row>
    <row r="131" spans="1:15" ht="15">
      <c r="A131" s="173" t="s">
        <v>1524</v>
      </c>
      <c r="B131" s="164" t="s">
        <v>231</v>
      </c>
      <c r="C131" s="163" t="s">
        <v>178</v>
      </c>
      <c r="D131" s="278">
        <f>LOOKUP(A131,'[4]PT OCT 2011'!$A$2:$A$730,'[4]PT OCT 2011'!$D$2:$D$730)</f>
        <v>16509.4</v>
      </c>
      <c r="E131" s="246">
        <f>2000*D195</f>
        <v>9700</v>
      </c>
      <c r="F131" s="218"/>
      <c r="G131" s="185"/>
      <c r="H131" s="9"/>
      <c r="L131" s="15">
        <v>1</v>
      </c>
      <c r="O131" s="274" t="e">
        <f>D131/#REF!</f>
        <v>#REF!</v>
      </c>
    </row>
    <row r="132" spans="1:15" ht="15" customHeight="1" hidden="1">
      <c r="A132" s="173" t="s">
        <v>419</v>
      </c>
      <c r="B132" s="164" t="s">
        <v>231</v>
      </c>
      <c r="C132" s="163" t="s">
        <v>1963</v>
      </c>
      <c r="D132" s="278">
        <f>LOOKUP(A132,'[4]PT OCT 2011'!$A$2:$A$730,'[4]PT OCT 2011'!$D$2:$D$730)</f>
        <v>16509.4</v>
      </c>
      <c r="E132" s="247">
        <v>0</v>
      </c>
      <c r="F132" s="217"/>
      <c r="G132" s="177"/>
      <c r="H132" s="9"/>
      <c r="O132" s="274" t="e">
        <f>D132/#REF!</f>
        <v>#REF!</v>
      </c>
    </row>
    <row r="133" spans="1:15" ht="15">
      <c r="A133" s="173" t="s">
        <v>1525</v>
      </c>
      <c r="B133" s="164" t="s">
        <v>232</v>
      </c>
      <c r="C133" s="163" t="s">
        <v>178</v>
      </c>
      <c r="D133" s="278">
        <f>LOOKUP(A133,'[4]PT OCT 2011'!$A$2:$A$730,'[4]PT OCT 2011'!$D$2:$D$730)</f>
        <v>3613.25</v>
      </c>
      <c r="E133" s="246">
        <f>1650*D195</f>
        <v>8002.499999999999</v>
      </c>
      <c r="F133" s="218"/>
      <c r="G133" s="186"/>
      <c r="H133" s="9"/>
      <c r="L133" s="15">
        <v>1</v>
      </c>
      <c r="O133" s="274" t="e">
        <f>D133/#REF!</f>
        <v>#REF!</v>
      </c>
    </row>
    <row r="134" spans="1:15" ht="15" customHeight="1" hidden="1">
      <c r="A134" s="173" t="s">
        <v>420</v>
      </c>
      <c r="B134" s="164" t="s">
        <v>232</v>
      </c>
      <c r="C134" s="163" t="s">
        <v>1963</v>
      </c>
      <c r="D134" s="278">
        <f>LOOKUP(A134,'[4]PT OCT 2011'!$A$2:$A$730,'[4]PT OCT 2011'!$D$2:$D$730)</f>
        <v>3613.25</v>
      </c>
      <c r="E134" s="247">
        <v>0</v>
      </c>
      <c r="F134" s="217"/>
      <c r="G134" s="186"/>
      <c r="H134" s="1"/>
      <c r="O134" s="274" t="e">
        <f>D134/#REF!</f>
        <v>#REF!</v>
      </c>
    </row>
    <row r="135" spans="1:15" ht="15">
      <c r="A135" s="173" t="s">
        <v>166</v>
      </c>
      <c r="B135" s="164" t="s">
        <v>233</v>
      </c>
      <c r="C135" s="163" t="s">
        <v>178</v>
      </c>
      <c r="D135" s="278">
        <f>LOOKUP(A135,'[4]PT OCT 2011'!$A$2:$A$730,'[4]PT OCT 2011'!$D$2:$D$730)</f>
        <v>1388102.0438</v>
      </c>
      <c r="E135" s="246">
        <f>135000*D195</f>
        <v>654750</v>
      </c>
      <c r="F135" s="218"/>
      <c r="G135" s="187"/>
      <c r="H135" s="1"/>
      <c r="L135" s="15">
        <v>1</v>
      </c>
      <c r="O135" s="274" t="e">
        <f>D135/#REF!</f>
        <v>#REF!</v>
      </c>
    </row>
    <row r="136" spans="1:15" ht="15" customHeight="1" hidden="1">
      <c r="A136" s="173" t="s">
        <v>421</v>
      </c>
      <c r="B136" s="164" t="s">
        <v>233</v>
      </c>
      <c r="C136" s="163" t="s">
        <v>1963</v>
      </c>
      <c r="D136" s="278">
        <f>LOOKUP(A136,'[4]PT OCT 2011'!$A$2:$A$730,'[4]PT OCT 2011'!$D$2:$D$730)</f>
        <v>156791.86</v>
      </c>
      <c r="E136" s="247">
        <v>0</v>
      </c>
      <c r="F136" s="217"/>
      <c r="G136" s="186"/>
      <c r="H136" s="1"/>
      <c r="O136" s="274" t="e">
        <f>D136/#REF!</f>
        <v>#REF!</v>
      </c>
    </row>
    <row r="137" spans="1:15" ht="15">
      <c r="A137" s="173" t="s">
        <v>167</v>
      </c>
      <c r="B137" s="164" t="s">
        <v>234</v>
      </c>
      <c r="C137" s="163" t="s">
        <v>178</v>
      </c>
      <c r="D137" s="278">
        <f>LOOKUP(A137,'[4]PT OCT 2011'!$A$2:$A$730,'[4]PT OCT 2011'!$D$2:$D$730)</f>
        <v>16351.6626</v>
      </c>
      <c r="E137" s="246">
        <f>2500*D195</f>
        <v>12125</v>
      </c>
      <c r="F137" s="218"/>
      <c r="G137" s="187"/>
      <c r="H137" s="1"/>
      <c r="L137" s="15">
        <v>1</v>
      </c>
      <c r="O137" s="274" t="e">
        <f>D137/#REF!</f>
        <v>#REF!</v>
      </c>
    </row>
    <row r="138" spans="1:15" ht="15" customHeight="1" hidden="1">
      <c r="A138" s="173" t="s">
        <v>422</v>
      </c>
      <c r="B138" s="164" t="s">
        <v>234</v>
      </c>
      <c r="C138" s="163" t="s">
        <v>1963</v>
      </c>
      <c r="D138" s="278">
        <f>LOOKUP(A138,'[4]PT OCT 2011'!$A$2:$A$730,'[4]PT OCT 2011'!$D$2:$D$730)</f>
        <v>11785.5</v>
      </c>
      <c r="E138" s="247">
        <v>0</v>
      </c>
      <c r="F138" s="217"/>
      <c r="G138" s="186"/>
      <c r="H138" s="1"/>
      <c r="O138" s="274" t="e">
        <f>D138/#REF!</f>
        <v>#REF!</v>
      </c>
    </row>
    <row r="139" spans="1:15" ht="15">
      <c r="A139" s="173" t="s">
        <v>1527</v>
      </c>
      <c r="B139" s="164" t="s">
        <v>235</v>
      </c>
      <c r="C139" s="163" t="s">
        <v>178</v>
      </c>
      <c r="D139" s="278">
        <f>LOOKUP(A139,'[4]PT OCT 2011'!$A$2:$A$730,'[4]PT OCT 2011'!$D$2:$D$730)</f>
        <v>51099.6</v>
      </c>
      <c r="E139" s="246">
        <f>4000*D195</f>
        <v>19400</v>
      </c>
      <c r="F139" s="218"/>
      <c r="G139" s="187"/>
      <c r="H139" s="9"/>
      <c r="L139" s="15">
        <v>1</v>
      </c>
      <c r="O139" s="274" t="e">
        <f>D139/#REF!</f>
        <v>#REF!</v>
      </c>
    </row>
    <row r="140" spans="1:15" ht="15" customHeight="1" hidden="1">
      <c r="A140" s="173" t="s">
        <v>423</v>
      </c>
      <c r="B140" s="164" t="s">
        <v>235</v>
      </c>
      <c r="C140" s="163" t="s">
        <v>1963</v>
      </c>
      <c r="D140" s="278">
        <f>LOOKUP(A140,'[4]PT OCT 2011'!$A$2:$A$730,'[4]PT OCT 2011'!$D$2:$D$730)</f>
        <v>51099.6</v>
      </c>
      <c r="E140" s="247">
        <v>0</v>
      </c>
      <c r="F140" s="217"/>
      <c r="G140" s="186"/>
      <c r="H140" s="9"/>
      <c r="O140" s="274" t="e">
        <f>D140/#REF!</f>
        <v>#REF!</v>
      </c>
    </row>
    <row r="141" spans="1:15" ht="15">
      <c r="A141" s="173" t="s">
        <v>168</v>
      </c>
      <c r="B141" s="164" t="s">
        <v>121</v>
      </c>
      <c r="C141" s="163" t="s">
        <v>178</v>
      </c>
      <c r="D141" s="278">
        <f>LOOKUP(A141,'[4]PT OCT 2011'!$A$2:$A$730,'[4]PT OCT 2011'!$D$2:$D$730)</f>
        <v>135800.75</v>
      </c>
      <c r="E141" s="246">
        <f>23000*D195</f>
        <v>111549.99999999999</v>
      </c>
      <c r="F141" s="218"/>
      <c r="G141" s="187"/>
      <c r="H141" s="9"/>
      <c r="L141" s="15">
        <v>1</v>
      </c>
      <c r="O141" s="274" t="e">
        <f>D141/#REF!</f>
        <v>#REF!</v>
      </c>
    </row>
    <row r="142" spans="1:15" ht="15" customHeight="1" hidden="1">
      <c r="A142" s="173" t="s">
        <v>424</v>
      </c>
      <c r="B142" s="164" t="s">
        <v>121</v>
      </c>
      <c r="C142" s="163" t="s">
        <v>1963</v>
      </c>
      <c r="D142" s="278">
        <f>LOOKUP(A142,'[4]PT OCT 2011'!$A$2:$A$730,'[4]PT OCT 2011'!$D$2:$D$730)</f>
        <v>135800.75</v>
      </c>
      <c r="E142" s="247">
        <v>0</v>
      </c>
      <c r="F142" s="219"/>
      <c r="G142" s="186"/>
      <c r="H142" s="9"/>
      <c r="O142" s="274" t="e">
        <f>D142/#REF!</f>
        <v>#REF!</v>
      </c>
    </row>
    <row r="143" spans="1:15" ht="15">
      <c r="A143" s="173" t="s">
        <v>165</v>
      </c>
      <c r="B143" s="164" t="s">
        <v>122</v>
      </c>
      <c r="C143" s="163" t="s">
        <v>178</v>
      </c>
      <c r="D143" s="278">
        <f>LOOKUP(A143,'[4]PT OCT 2011'!$A$2:$A$730,'[4]PT OCT 2011'!$D$2:$D$730)</f>
        <v>88565.79</v>
      </c>
      <c r="E143" s="246">
        <f>15000*D195</f>
        <v>72750</v>
      </c>
      <c r="F143" s="218"/>
      <c r="G143" s="187"/>
      <c r="H143" s="9"/>
      <c r="L143" s="15">
        <v>1</v>
      </c>
      <c r="O143" s="274" t="e">
        <f>D143/#REF!</f>
        <v>#REF!</v>
      </c>
    </row>
    <row r="144" spans="1:15" ht="15" customHeight="1" hidden="1">
      <c r="A144" s="173" t="s">
        <v>425</v>
      </c>
      <c r="B144" s="164" t="s">
        <v>122</v>
      </c>
      <c r="C144" s="163" t="s">
        <v>1963</v>
      </c>
      <c r="D144" s="278">
        <f>LOOKUP(A144,'[4]PT OCT 2011'!$A$2:$A$730,'[4]PT OCT 2011'!$D$2:$D$730)</f>
        <v>88565.79</v>
      </c>
      <c r="E144" s="247">
        <v>0</v>
      </c>
      <c r="F144" s="219"/>
      <c r="G144" s="187"/>
      <c r="H144" s="1"/>
      <c r="O144" s="274" t="e">
        <f>D144/#REF!</f>
        <v>#REF!</v>
      </c>
    </row>
    <row r="145" spans="1:15" ht="15">
      <c r="A145" s="173" t="s">
        <v>169</v>
      </c>
      <c r="B145" s="164" t="s">
        <v>236</v>
      </c>
      <c r="C145" s="163" t="s">
        <v>178</v>
      </c>
      <c r="D145" s="278">
        <f>LOOKUP(A145,'[4]PT OCT 2011'!$A$2:$A$730,'[4]PT OCT 2011'!$D$2:$D$730)</f>
        <v>100374.46</v>
      </c>
      <c r="E145" s="246">
        <f>17000*D195</f>
        <v>82450</v>
      </c>
      <c r="F145" s="218"/>
      <c r="G145" s="187"/>
      <c r="H145" s="1"/>
      <c r="L145" s="15">
        <v>1</v>
      </c>
      <c r="O145" s="274" t="e">
        <f>D145/#REF!</f>
        <v>#REF!</v>
      </c>
    </row>
    <row r="146" spans="1:15" ht="15" customHeight="1" hidden="1">
      <c r="A146" s="173" t="s">
        <v>426</v>
      </c>
      <c r="B146" s="164" t="s">
        <v>236</v>
      </c>
      <c r="C146" s="163" t="s">
        <v>1963</v>
      </c>
      <c r="D146" s="278">
        <f>LOOKUP(A146,'[4]PT OCT 2011'!$A$2:$A$730,'[4]PT OCT 2011'!$D$2:$D$730)</f>
        <v>100374.46</v>
      </c>
      <c r="E146" s="247">
        <v>0</v>
      </c>
      <c r="F146" s="219"/>
      <c r="G146" s="186"/>
      <c r="H146" s="1"/>
      <c r="O146" s="274" t="e">
        <f>D146/#REF!</f>
        <v>#REF!</v>
      </c>
    </row>
    <row r="147" spans="1:15" ht="15">
      <c r="A147" s="173" t="s">
        <v>170</v>
      </c>
      <c r="B147" s="164" t="s">
        <v>123</v>
      </c>
      <c r="C147" s="163" t="s">
        <v>178</v>
      </c>
      <c r="D147" s="278">
        <f>LOOKUP(A147,'[4]PT OCT 2011'!$A$2:$A$730,'[4]PT OCT 2011'!$D$2:$D$730)</f>
        <v>44782.11</v>
      </c>
      <c r="E147" s="246">
        <f>5000*D195</f>
        <v>24250</v>
      </c>
      <c r="F147" s="218"/>
      <c r="G147" s="187"/>
      <c r="H147" s="1"/>
      <c r="L147" s="15">
        <v>1</v>
      </c>
      <c r="O147" s="274" t="e">
        <f>D147/#REF!</f>
        <v>#REF!</v>
      </c>
    </row>
    <row r="148" spans="1:15" ht="15" customHeight="1" hidden="1">
      <c r="A148" s="173" t="s">
        <v>427</v>
      </c>
      <c r="B148" s="164" t="s">
        <v>123</v>
      </c>
      <c r="C148" s="163" t="s">
        <v>1963</v>
      </c>
      <c r="D148" s="278">
        <f>LOOKUP(A148,'[4]PT OCT 2011'!$A$2:$A$730,'[4]PT OCT 2011'!$D$2:$D$730)</f>
        <v>49576</v>
      </c>
      <c r="E148" s="247">
        <v>0</v>
      </c>
      <c r="F148" s="217"/>
      <c r="G148" s="186"/>
      <c r="H148" s="1"/>
      <c r="I148" s="161">
        <v>5900</v>
      </c>
      <c r="O148" s="274" t="e">
        <f>D148/#REF!</f>
        <v>#REF!</v>
      </c>
    </row>
    <row r="149" spans="1:15" ht="15">
      <c r="A149" s="173" t="s">
        <v>1528</v>
      </c>
      <c r="B149" s="164" t="s">
        <v>120</v>
      </c>
      <c r="C149" s="163" t="s">
        <v>178</v>
      </c>
      <c r="D149" s="278">
        <f>LOOKUP(A149,'[4]PT OCT 2011'!$A$2:$A$730,'[4]PT OCT 2011'!$D$2:$D$730)</f>
        <v>440115</v>
      </c>
      <c r="E149" s="246">
        <f>23500*D195</f>
        <v>113974.99999999999</v>
      </c>
      <c r="F149" s="218"/>
      <c r="G149" s="187"/>
      <c r="L149" s="15">
        <v>1</v>
      </c>
      <c r="O149" s="274" t="e">
        <f>D149/#REF!</f>
        <v>#REF!</v>
      </c>
    </row>
    <row r="150" spans="1:15" ht="15" hidden="1">
      <c r="A150" s="173" t="s">
        <v>428</v>
      </c>
      <c r="B150" s="164" t="s">
        <v>120</v>
      </c>
      <c r="C150" s="163" t="s">
        <v>1963</v>
      </c>
      <c r="D150" s="278">
        <f>LOOKUP(A150,'[4]PT OCT 2011'!$A$2:$A$730,'[4]PT OCT 2011'!$D$2:$D$730)</f>
        <v>440115</v>
      </c>
      <c r="E150" s="247">
        <v>0</v>
      </c>
      <c r="F150" s="217"/>
      <c r="G150" s="186"/>
      <c r="H150" s="1"/>
      <c r="O150" s="274" t="e">
        <f>D150/#REF!</f>
        <v>#REF!</v>
      </c>
    </row>
    <row r="151" spans="1:15" ht="15">
      <c r="A151" s="173" t="s">
        <v>1529</v>
      </c>
      <c r="B151" s="164" t="s">
        <v>237</v>
      </c>
      <c r="C151" s="163" t="s">
        <v>178</v>
      </c>
      <c r="D151" s="278">
        <f>LOOKUP(A151,'[4]PT OCT 2011'!$A$2:$A$730,'[4]PT OCT 2011'!$D$2:$D$730)</f>
        <v>12149.25</v>
      </c>
      <c r="E151" s="246">
        <f>2000*D195</f>
        <v>9700</v>
      </c>
      <c r="F151" s="218"/>
      <c r="G151" s="187"/>
      <c r="H151" s="136"/>
      <c r="L151" s="15">
        <v>1</v>
      </c>
      <c r="O151" s="274" t="e">
        <f>D151/#REF!</f>
        <v>#REF!</v>
      </c>
    </row>
    <row r="152" spans="1:15" ht="15" hidden="1">
      <c r="A152" s="173" t="s">
        <v>429</v>
      </c>
      <c r="B152" s="164" t="s">
        <v>237</v>
      </c>
      <c r="C152" s="163" t="s">
        <v>1963</v>
      </c>
      <c r="D152" s="278">
        <f>LOOKUP(A152,'[4]PT OCT 2011'!$A$2:$A$730,'[4]PT OCT 2011'!$D$2:$D$730)</f>
        <v>12149.25</v>
      </c>
      <c r="E152" s="247">
        <v>0</v>
      </c>
      <c r="F152" s="217"/>
      <c r="G152" s="186"/>
      <c r="H152" s="1"/>
      <c r="I152" s="15">
        <f>750+85+21</f>
        <v>856</v>
      </c>
      <c r="O152" s="274" t="e">
        <f>D152/#REF!</f>
        <v>#REF!</v>
      </c>
    </row>
    <row r="153" spans="1:15" ht="15">
      <c r="A153" s="173" t="s">
        <v>430</v>
      </c>
      <c r="B153" s="164" t="s">
        <v>431</v>
      </c>
      <c r="C153" s="163" t="s">
        <v>178</v>
      </c>
      <c r="D153" s="278">
        <f>LOOKUP(A153,'[4]PT OCT 2011'!$A$2:$A$730,'[4]PT OCT 2011'!$D$2:$D$730)</f>
        <v>16400</v>
      </c>
      <c r="E153" s="248"/>
      <c r="F153" s="218"/>
      <c r="G153" s="188">
        <v>2891</v>
      </c>
      <c r="H153" s="94" t="s">
        <v>1240</v>
      </c>
      <c r="L153" s="15">
        <v>1</v>
      </c>
      <c r="O153" s="274" t="e">
        <f>D153/#REF!</f>
        <v>#REF!</v>
      </c>
    </row>
    <row r="154" spans="1:15" ht="15" hidden="1">
      <c r="A154" s="173" t="s">
        <v>432</v>
      </c>
      <c r="B154" s="164" t="s">
        <v>431</v>
      </c>
      <c r="C154" s="163" t="s">
        <v>1963</v>
      </c>
      <c r="D154" s="278">
        <f>LOOKUP(A154,'[4]PT OCT 2011'!$A$2:$A$730,'[4]PT OCT 2011'!$D$2:$D$730)</f>
        <v>16400</v>
      </c>
      <c r="E154" s="247"/>
      <c r="F154" s="217"/>
      <c r="G154" s="186"/>
      <c r="H154" s="1"/>
      <c r="O154" s="274" t="e">
        <f>D154/#REF!</f>
        <v>#REF!</v>
      </c>
    </row>
    <row r="155" spans="1:15" ht="15" hidden="1">
      <c r="A155" s="173" t="s">
        <v>433</v>
      </c>
      <c r="B155" s="164" t="s">
        <v>434</v>
      </c>
      <c r="C155" s="163" t="s">
        <v>178</v>
      </c>
      <c r="D155" s="278">
        <f>LOOKUP(A155,'[4]PT OCT 2011'!$A$2:$A$730,'[4]PT OCT 2011'!$D$2:$D$730)</f>
        <v>16400</v>
      </c>
      <c r="E155" s="248"/>
      <c r="F155" s="218"/>
      <c r="G155" s="188">
        <f>2489*D195</f>
        <v>12071.65</v>
      </c>
      <c r="H155" s="94" t="s">
        <v>1167</v>
      </c>
      <c r="L155" s="15">
        <v>1</v>
      </c>
      <c r="O155" s="274" t="e">
        <f>D155/#REF!</f>
        <v>#REF!</v>
      </c>
    </row>
    <row r="156" spans="1:15" ht="15" hidden="1">
      <c r="A156" s="173" t="s">
        <v>435</v>
      </c>
      <c r="B156" s="164" t="s">
        <v>1062</v>
      </c>
      <c r="C156" s="163" t="s">
        <v>1963</v>
      </c>
      <c r="D156" s="278">
        <f>LOOKUP(A156,'[4]PT OCT 2011'!$A$2:$A$730,'[4]PT OCT 2011'!$D$2:$D$730)</f>
        <v>16400</v>
      </c>
      <c r="E156" s="247"/>
      <c r="F156" s="217"/>
      <c r="G156" s="186"/>
      <c r="H156" s="1"/>
      <c r="O156" s="274" t="e">
        <f>D156/#REF!</f>
        <v>#REF!</v>
      </c>
    </row>
    <row r="157" spans="1:15" ht="15">
      <c r="A157" s="173" t="s">
        <v>1530</v>
      </c>
      <c r="B157" s="164" t="s">
        <v>1063</v>
      </c>
      <c r="C157" s="163" t="s">
        <v>178</v>
      </c>
      <c r="D157" s="278">
        <f>LOOKUP(A157,'[4]PT OCT 2011'!$A$2:$A$730,'[4]PT OCT 2011'!$D$2:$D$730)</f>
        <v>57000</v>
      </c>
      <c r="E157" s="248"/>
      <c r="F157" s="218"/>
      <c r="G157" s="188">
        <v>44250</v>
      </c>
      <c r="H157" s="94" t="s">
        <v>1256</v>
      </c>
      <c r="L157" s="15">
        <v>1</v>
      </c>
      <c r="O157" s="274" t="e">
        <f>D157/#REF!</f>
        <v>#REF!</v>
      </c>
    </row>
    <row r="158" spans="1:15" ht="15" hidden="1">
      <c r="A158" s="173" t="s">
        <v>1064</v>
      </c>
      <c r="B158" s="164" t="s">
        <v>1065</v>
      </c>
      <c r="C158" s="163" t="s">
        <v>1963</v>
      </c>
      <c r="D158" s="278">
        <f>LOOKUP(A158,'[4]PT OCT 2011'!$A$2:$A$730,'[4]PT OCT 2011'!$D$2:$D$730)</f>
        <v>57000</v>
      </c>
      <c r="E158" s="247"/>
      <c r="F158" s="217"/>
      <c r="G158" s="186"/>
      <c r="H158" s="1"/>
      <c r="O158" s="274" t="e">
        <f>D158/#REF!</f>
        <v>#REF!</v>
      </c>
    </row>
    <row r="159" spans="1:15" ht="15" hidden="1">
      <c r="A159" s="173" t="s">
        <v>1066</v>
      </c>
      <c r="B159" s="164" t="s">
        <v>1469</v>
      </c>
      <c r="C159" s="163" t="s">
        <v>178</v>
      </c>
      <c r="D159" s="278">
        <f>LOOKUP(A159,'[4]PT OCT 2011'!$A$2:$A$730,'[4]PT OCT 2011'!$D$2:$D$730)</f>
        <v>57000</v>
      </c>
      <c r="E159" s="248"/>
      <c r="F159" s="218"/>
      <c r="G159" s="188">
        <v>63130</v>
      </c>
      <c r="H159" s="94" t="s">
        <v>1256</v>
      </c>
      <c r="L159" s="15">
        <v>1</v>
      </c>
      <c r="O159" s="274" t="e">
        <f>D159/#REF!</f>
        <v>#REF!</v>
      </c>
    </row>
    <row r="160" spans="1:15" ht="15" hidden="1">
      <c r="A160" s="173" t="s">
        <v>1067</v>
      </c>
      <c r="B160" s="164" t="s">
        <v>1228</v>
      </c>
      <c r="C160" s="163" t="s">
        <v>1963</v>
      </c>
      <c r="D160" s="278">
        <f>LOOKUP(A160,'[4]PT OCT 2011'!$A$2:$A$730,'[4]PT OCT 2011'!$D$2:$D$730)</f>
        <v>57000</v>
      </c>
      <c r="E160" s="247"/>
      <c r="F160" s="217"/>
      <c r="G160" s="186"/>
      <c r="H160" s="1"/>
      <c r="O160" s="274" t="e">
        <f>D160/#REF!</f>
        <v>#REF!</v>
      </c>
    </row>
    <row r="161" spans="1:15" ht="15">
      <c r="A161" s="173" t="s">
        <v>1532</v>
      </c>
      <c r="B161" s="164" t="s">
        <v>1068</v>
      </c>
      <c r="C161" s="163" t="s">
        <v>178</v>
      </c>
      <c r="D161" s="278">
        <f>LOOKUP(A161,'[4]PT OCT 2011'!$A$2:$A$730,'[4]PT OCT 2011'!$D$2:$D$730)</f>
        <v>80000</v>
      </c>
      <c r="E161" s="248"/>
      <c r="F161" s="218"/>
      <c r="G161" s="190">
        <v>28900</v>
      </c>
      <c r="H161" s="94" t="s">
        <v>1241</v>
      </c>
      <c r="L161" s="15">
        <v>1</v>
      </c>
      <c r="O161" s="274" t="e">
        <f>D161/#REF!</f>
        <v>#REF!</v>
      </c>
    </row>
    <row r="162" spans="1:15" ht="15" hidden="1">
      <c r="A162" s="173" t="s">
        <v>1069</v>
      </c>
      <c r="B162" s="164" t="s">
        <v>1068</v>
      </c>
      <c r="C162" s="163" t="s">
        <v>1963</v>
      </c>
      <c r="D162" s="278">
        <f>LOOKUP(A162,'[4]PT OCT 2011'!$A$2:$A$730,'[4]PT OCT 2011'!$D$2:$D$730)</f>
        <v>80000</v>
      </c>
      <c r="E162" s="247"/>
      <c r="F162" s="217"/>
      <c r="G162" s="191"/>
      <c r="H162" s="1"/>
      <c r="O162" s="274" t="e">
        <f>D162/#REF!</f>
        <v>#REF!</v>
      </c>
    </row>
    <row r="163" spans="1:15" ht="15">
      <c r="A163" s="173" t="s">
        <v>1533</v>
      </c>
      <c r="B163" s="164" t="s">
        <v>1070</v>
      </c>
      <c r="C163" s="163" t="s">
        <v>178</v>
      </c>
      <c r="D163" s="278">
        <f>LOOKUP(A163,'[4]PT OCT 2011'!$A$2:$A$730,'[4]PT OCT 2011'!$D$2:$D$730)</f>
        <v>185000</v>
      </c>
      <c r="E163" s="248"/>
      <c r="F163" s="218"/>
      <c r="G163" s="190">
        <v>68500</v>
      </c>
      <c r="H163" s="94" t="s">
        <v>1241</v>
      </c>
      <c r="I163" s="15" t="s">
        <v>1168</v>
      </c>
      <c r="L163" s="15">
        <v>1</v>
      </c>
      <c r="O163" s="274" t="e">
        <f>D163/#REF!</f>
        <v>#REF!</v>
      </c>
    </row>
    <row r="164" spans="1:15" ht="15" hidden="1">
      <c r="A164" s="173" t="s">
        <v>1071</v>
      </c>
      <c r="B164" s="164" t="s">
        <v>1070</v>
      </c>
      <c r="C164" s="163" t="s">
        <v>1963</v>
      </c>
      <c r="D164" s="278">
        <f>LOOKUP(A164,'[4]PT OCT 2011'!$A$2:$A$730,'[4]PT OCT 2011'!$D$2:$D$730)</f>
        <v>185000</v>
      </c>
      <c r="E164" s="247"/>
      <c r="F164" s="217"/>
      <c r="G164" s="192"/>
      <c r="H164" s="94" t="s">
        <v>1241</v>
      </c>
      <c r="O164" s="274" t="e">
        <f>D164/#REF!</f>
        <v>#REF!</v>
      </c>
    </row>
    <row r="165" spans="1:15" ht="15">
      <c r="A165" s="173" t="s">
        <v>1534</v>
      </c>
      <c r="B165" s="164" t="s">
        <v>1072</v>
      </c>
      <c r="C165" s="163" t="s">
        <v>178</v>
      </c>
      <c r="D165" s="278">
        <f>LOOKUP(A165,'[4]PT OCT 2011'!$A$2:$A$730,'[4]PT OCT 2011'!$D$2:$D$730)</f>
        <v>125000</v>
      </c>
      <c r="E165" s="248"/>
      <c r="F165" s="218"/>
      <c r="G165" s="190">
        <v>39500</v>
      </c>
      <c r="H165" s="94" t="s">
        <v>1241</v>
      </c>
      <c r="L165" s="15">
        <v>1</v>
      </c>
      <c r="O165" s="274" t="e">
        <f>D165/#REF!</f>
        <v>#REF!</v>
      </c>
    </row>
    <row r="166" spans="1:15" ht="15" hidden="1">
      <c r="A166" s="173" t="s">
        <v>1073</v>
      </c>
      <c r="B166" s="164" t="s">
        <v>1072</v>
      </c>
      <c r="C166" s="163" t="s">
        <v>1963</v>
      </c>
      <c r="D166" s="278">
        <f>LOOKUP(A166,'[4]PT OCT 2011'!$A$2:$A$730,'[4]PT OCT 2011'!$D$2:$D$730)</f>
        <v>125000</v>
      </c>
      <c r="E166" s="247"/>
      <c r="F166" s="217"/>
      <c r="G166" s="186"/>
      <c r="H166" s="1"/>
      <c r="O166" s="274" t="e">
        <f>D166/#REF!</f>
        <v>#REF!</v>
      </c>
    </row>
    <row r="167" spans="1:15" ht="15">
      <c r="A167" s="173" t="s">
        <v>1074</v>
      </c>
      <c r="B167" s="164" t="s">
        <v>1284</v>
      </c>
      <c r="C167" s="163" t="s">
        <v>178</v>
      </c>
      <c r="D167" s="278">
        <f>LOOKUP(A167,'[4]PT OCT 2011'!$A$2:$A$730,'[4]PT OCT 2011'!$D$2:$D$730)</f>
        <v>575210</v>
      </c>
      <c r="E167" s="249"/>
      <c r="F167" s="220"/>
      <c r="G167" s="188">
        <v>237770</v>
      </c>
      <c r="H167" s="94" t="s">
        <v>1256</v>
      </c>
      <c r="I167" s="97">
        <f>536000*D195</f>
        <v>2599600</v>
      </c>
      <c r="J167" s="15" t="s">
        <v>1285</v>
      </c>
      <c r="O167" s="274" t="e">
        <f>D167/#REF!</f>
        <v>#REF!</v>
      </c>
    </row>
    <row r="168" spans="1:15" ht="15" hidden="1">
      <c r="A168" s="173" t="s">
        <v>1075</v>
      </c>
      <c r="B168" s="164" t="s">
        <v>1076</v>
      </c>
      <c r="C168" s="163" t="s">
        <v>1963</v>
      </c>
      <c r="D168" s="278">
        <f>LOOKUP(A168,'[4]PT OCT 2011'!$A$2:$A$730,'[4]PT OCT 2011'!$D$2:$D$730)</f>
        <v>575210</v>
      </c>
      <c r="E168" s="247"/>
      <c r="F168" s="217"/>
      <c r="G168" s="186"/>
      <c r="H168" s="1"/>
      <c r="O168" s="274" t="e">
        <f>D168/#REF!</f>
        <v>#REF!</v>
      </c>
    </row>
    <row r="169" spans="1:15" ht="15">
      <c r="A169" s="173" t="s">
        <v>1077</v>
      </c>
      <c r="B169" s="164" t="s">
        <v>1516</v>
      </c>
      <c r="C169" s="163" t="s">
        <v>178</v>
      </c>
      <c r="D169" s="278">
        <f>LOOKUP(A169,'[4]PT OCT 2011'!$A$2:$A$730,'[4]PT OCT 2011'!$D$2:$D$730)</f>
        <v>141524.89</v>
      </c>
      <c r="E169" s="248"/>
      <c r="F169" s="218"/>
      <c r="G169" s="188">
        <f>11500*D195</f>
        <v>55774.99999999999</v>
      </c>
      <c r="H169" s="94" t="s">
        <v>1169</v>
      </c>
      <c r="L169" s="15">
        <v>1</v>
      </c>
      <c r="O169" s="274" t="e">
        <f>D169/#REF!</f>
        <v>#REF!</v>
      </c>
    </row>
    <row r="170" spans="1:15" ht="15" hidden="1">
      <c r="A170" s="173" t="s">
        <v>1079</v>
      </c>
      <c r="B170" s="164" t="s">
        <v>1078</v>
      </c>
      <c r="C170" s="163" t="s">
        <v>1963</v>
      </c>
      <c r="D170" s="278">
        <f>LOOKUP(A170,'[4]PT OCT 2011'!$A$2:$A$730,'[4]PT OCT 2011'!$D$2:$D$730)</f>
        <v>141524.89</v>
      </c>
      <c r="E170" s="247"/>
      <c r="F170" s="217"/>
      <c r="G170" s="186"/>
      <c r="H170" s="1"/>
      <c r="O170" s="274" t="e">
        <f>D170/#REF!</f>
        <v>#REF!</v>
      </c>
    </row>
    <row r="171" spans="1:15" ht="15">
      <c r="A171" s="173" t="s">
        <v>205</v>
      </c>
      <c r="B171" s="164" t="s">
        <v>206</v>
      </c>
      <c r="C171" s="163" t="s">
        <v>348</v>
      </c>
      <c r="D171" s="278">
        <f>LOOKUP(A171,'[4]PT OCT 2011'!$A$2:$A$730,'[4]PT OCT 2011'!$D$2:$D$730)</f>
        <v>5.63</v>
      </c>
      <c r="E171" s="250">
        <v>1.686</v>
      </c>
      <c r="F171" s="218"/>
      <c r="G171" s="187"/>
      <c r="H171" s="15" t="s">
        <v>1165</v>
      </c>
      <c r="L171" s="15">
        <v>1</v>
      </c>
      <c r="O171" s="274" t="e">
        <f>D171/#REF!</f>
        <v>#REF!</v>
      </c>
    </row>
    <row r="172" spans="1:15" ht="15">
      <c r="A172" s="173" t="s">
        <v>1080</v>
      </c>
      <c r="B172" s="164" t="s">
        <v>1470</v>
      </c>
      <c r="C172" s="163" t="s">
        <v>178</v>
      </c>
      <c r="D172" s="278">
        <f>LOOKUP(A172,'[4]PT OCT 2011'!$A$2:$A$730,'[4]PT OCT 2011'!$D$2:$D$730)</f>
        <v>106997.506</v>
      </c>
      <c r="E172" s="251"/>
      <c r="F172" s="218"/>
      <c r="G172" s="190">
        <v>24761.31</v>
      </c>
      <c r="H172" s="94" t="s">
        <v>1170</v>
      </c>
      <c r="L172" s="15">
        <v>1</v>
      </c>
      <c r="O172" s="274" t="e">
        <f>D172/#REF!</f>
        <v>#REF!</v>
      </c>
    </row>
    <row r="173" spans="1:15" ht="15" hidden="1">
      <c r="A173" s="173" t="s">
        <v>1082</v>
      </c>
      <c r="B173" s="164" t="s">
        <v>1081</v>
      </c>
      <c r="C173" s="163" t="s">
        <v>1963</v>
      </c>
      <c r="D173" s="278">
        <f>LOOKUP(A173,'[4]PT OCT 2011'!$A$2:$A$730,'[4]PT OCT 2011'!$D$2:$D$730)</f>
        <v>117537.99</v>
      </c>
      <c r="E173" s="247"/>
      <c r="F173" s="217"/>
      <c r="G173" s="186"/>
      <c r="H173" s="1"/>
      <c r="O173" s="274" t="e">
        <f>D173/#REF!</f>
        <v>#REF!</v>
      </c>
    </row>
    <row r="174" spans="1:15" ht="15" hidden="1">
      <c r="A174" s="173" t="s">
        <v>1083</v>
      </c>
      <c r="B174" s="164" t="s">
        <v>1230</v>
      </c>
      <c r="C174" s="163" t="s">
        <v>178</v>
      </c>
      <c r="D174" s="278">
        <f>LOOKUP(A174,'[4]PT OCT 2011'!$A$2:$A$730,'[4]PT OCT 2011'!$D$2:$D$730)</f>
        <v>117537.99</v>
      </c>
      <c r="E174" s="251"/>
      <c r="F174" s="218"/>
      <c r="G174" s="188">
        <f>4587*D195</f>
        <v>22246.949999999997</v>
      </c>
      <c r="H174" s="94" t="s">
        <v>1167</v>
      </c>
      <c r="L174" s="15">
        <v>1</v>
      </c>
      <c r="O174" s="274" t="e">
        <f>D174/#REF!</f>
        <v>#REF!</v>
      </c>
    </row>
    <row r="175" spans="1:15" ht="15" hidden="1">
      <c r="A175" s="173" t="s">
        <v>1084</v>
      </c>
      <c r="B175" s="164" t="s">
        <v>1230</v>
      </c>
      <c r="C175" s="163" t="s">
        <v>1963</v>
      </c>
      <c r="D175" s="278">
        <f>LOOKUP(A175,'[4]PT OCT 2011'!$A$2:$A$730,'[4]PT OCT 2011'!$D$2:$D$730)</f>
        <v>117537.99</v>
      </c>
      <c r="E175" s="247"/>
      <c r="F175" s="217"/>
      <c r="G175" s="186"/>
      <c r="H175" s="1"/>
      <c r="O175" s="274" t="e">
        <f>D175/#REF!</f>
        <v>#REF!</v>
      </c>
    </row>
    <row r="176" spans="1:15" ht="15" hidden="1">
      <c r="A176" s="173" t="s">
        <v>1085</v>
      </c>
      <c r="B176" s="164" t="s">
        <v>1232</v>
      </c>
      <c r="C176" s="163" t="s">
        <v>178</v>
      </c>
      <c r="D176" s="278">
        <f>LOOKUP(A176,'[4]PT OCT 2011'!$A$2:$A$730,'[4]PT OCT 2011'!$D$2:$D$730)</f>
        <v>23931.67</v>
      </c>
      <c r="E176" s="251"/>
      <c r="F176" s="218"/>
      <c r="G176" s="188">
        <f>3938*D195</f>
        <v>19099.3</v>
      </c>
      <c r="H176" s="94" t="s">
        <v>1167</v>
      </c>
      <c r="K176" s="144">
        <f>240000+84000+26900</f>
        <v>350900</v>
      </c>
      <c r="L176" s="15">
        <v>1</v>
      </c>
      <c r="O176" s="274" t="e">
        <f>D176/#REF!</f>
        <v>#REF!</v>
      </c>
    </row>
    <row r="177" spans="1:15" ht="15" hidden="1">
      <c r="A177" s="173" t="s">
        <v>1086</v>
      </c>
      <c r="B177" s="164" t="s">
        <v>1232</v>
      </c>
      <c r="C177" s="163" t="s">
        <v>1963</v>
      </c>
      <c r="D177" s="278">
        <f>LOOKUP(A177,'[4]PT OCT 2011'!$A$2:$A$730,'[4]PT OCT 2011'!$D$2:$D$730)</f>
        <v>23931.67</v>
      </c>
      <c r="E177" s="247"/>
      <c r="F177" s="217"/>
      <c r="G177" s="186"/>
      <c r="H177" s="1"/>
      <c r="K177" s="111" t="s">
        <v>1227</v>
      </c>
      <c r="O177" s="274" t="e">
        <f>D177/#REF!</f>
        <v>#REF!</v>
      </c>
    </row>
    <row r="178" spans="1:15" ht="15">
      <c r="A178" s="173" t="s">
        <v>1087</v>
      </c>
      <c r="B178" s="164" t="s">
        <v>1226</v>
      </c>
      <c r="C178" s="163" t="s">
        <v>178</v>
      </c>
      <c r="D178" s="278">
        <f>LOOKUP(A178,'[4]PT OCT 2011'!$A$2:$A$730,'[4]PT OCT 2011'!$D$2:$D$730)</f>
        <v>2870670.31</v>
      </c>
      <c r="E178" s="251"/>
      <c r="F178" s="218"/>
      <c r="G178" s="193">
        <v>1076027.8</v>
      </c>
      <c r="H178" s="110" t="s">
        <v>1238</v>
      </c>
      <c r="I178" s="110"/>
      <c r="J178" s="111">
        <f>35186*D195</f>
        <v>170652.09999999998</v>
      </c>
      <c r="K178" s="91" t="s">
        <v>1257</v>
      </c>
      <c r="O178" s="274" t="e">
        <f>D178/#REF!</f>
        <v>#REF!</v>
      </c>
    </row>
    <row r="179" spans="1:15" ht="15" hidden="1">
      <c r="A179" s="173" t="s">
        <v>1088</v>
      </c>
      <c r="B179" s="164" t="s">
        <v>1226</v>
      </c>
      <c r="C179" s="163" t="s">
        <v>1963</v>
      </c>
      <c r="D179" s="278">
        <f>LOOKUP(A179,'[4]PT OCT 2011'!$A$2:$A$730,'[4]PT OCT 2011'!$D$2:$D$730)</f>
        <v>4900529</v>
      </c>
      <c r="E179" s="247"/>
      <c r="F179" s="217"/>
      <c r="G179" s="186"/>
      <c r="O179" s="274" t="e">
        <f>D179/#REF!</f>
        <v>#REF!</v>
      </c>
    </row>
    <row r="180" spans="1:15" ht="15">
      <c r="A180" s="173" t="s">
        <v>368</v>
      </c>
      <c r="B180" s="164" t="s">
        <v>369</v>
      </c>
      <c r="C180" s="163" t="s">
        <v>178</v>
      </c>
      <c r="D180" s="278">
        <f>LOOKUP(A180,'[4]PT OCT 2011'!$A$2:$A$730,'[4]PT OCT 2011'!$D$2:$D$730)</f>
        <v>140487.71</v>
      </c>
      <c r="E180" s="248"/>
      <c r="F180" s="218"/>
      <c r="G180" s="194">
        <v>49973</v>
      </c>
      <c r="H180" s="1" t="s">
        <v>1239</v>
      </c>
      <c r="L180" s="15">
        <v>1</v>
      </c>
      <c r="O180" s="274" t="e">
        <f>D180/#REF!</f>
        <v>#REF!</v>
      </c>
    </row>
    <row r="181" spans="1:15" ht="15">
      <c r="A181" s="173" t="s">
        <v>375</v>
      </c>
      <c r="B181" s="164" t="s">
        <v>369</v>
      </c>
      <c r="C181" s="163" t="s">
        <v>1963</v>
      </c>
      <c r="D181" s="278">
        <f>LOOKUP(A181,'[4]PT OCT 2011'!$A$2:$A$730,'[4]PT OCT 2011'!$D$2:$D$730)</f>
        <v>260.84</v>
      </c>
      <c r="E181" s="247">
        <f>grua</f>
        <v>287.15615116000004</v>
      </c>
      <c r="F181" s="217"/>
      <c r="G181" s="186"/>
      <c r="H181" s="1"/>
      <c r="O181" s="274" t="e">
        <f>D181/#REF!</f>
        <v>#REF!</v>
      </c>
    </row>
    <row r="182" spans="1:15" ht="15">
      <c r="A182" s="173" t="s">
        <v>1089</v>
      </c>
      <c r="B182" s="164" t="s">
        <v>1246</v>
      </c>
      <c r="C182" s="163" t="s">
        <v>178</v>
      </c>
      <c r="D182" s="278">
        <f>LOOKUP(A182,'[4]PT OCT 2011'!$A$2:$A$730,'[4]PT OCT 2011'!$D$2:$D$730)</f>
        <v>1013815.26</v>
      </c>
      <c r="E182" s="251"/>
      <c r="F182" s="218"/>
      <c r="G182" s="193">
        <v>481724</v>
      </c>
      <c r="H182" s="110" t="s">
        <v>1243</v>
      </c>
      <c r="I182" s="110"/>
      <c r="L182" s="15">
        <v>1</v>
      </c>
      <c r="O182" s="274" t="e">
        <f>D182/#REF!</f>
        <v>#REF!</v>
      </c>
    </row>
    <row r="183" spans="1:15" ht="15" hidden="1">
      <c r="A183" s="173" t="s">
        <v>1090</v>
      </c>
      <c r="B183" s="164" t="s">
        <v>1231</v>
      </c>
      <c r="C183" s="163" t="s">
        <v>1963</v>
      </c>
      <c r="D183" s="278">
        <f>LOOKUP(A183,'[4]PT OCT 2011'!$A$2:$A$730,'[4]PT OCT 2011'!$D$2:$D$730)</f>
        <v>1524346</v>
      </c>
      <c r="E183" s="247"/>
      <c r="F183" s="217"/>
      <c r="G183" s="186"/>
      <c r="O183" s="274" t="e">
        <f>D183/#REF!</f>
        <v>#REF!</v>
      </c>
    </row>
    <row r="184" spans="1:15" ht="15">
      <c r="A184" s="173" t="s">
        <v>1091</v>
      </c>
      <c r="B184" s="164" t="s">
        <v>1286</v>
      </c>
      <c r="C184" s="163" t="s">
        <v>178</v>
      </c>
      <c r="D184" s="278">
        <f>LOOKUP(A184,'[4]PT OCT 2011'!$A$2:$A$730,'[4]PT OCT 2011'!$D$2:$D$730)</f>
        <v>892157.6</v>
      </c>
      <c r="E184" s="251"/>
      <c r="F184" s="218"/>
      <c r="G184" s="188">
        <v>356950</v>
      </c>
      <c r="H184" s="94" t="s">
        <v>1256</v>
      </c>
      <c r="L184" s="15">
        <v>1</v>
      </c>
      <c r="O184" s="274" t="e">
        <f>D184/#REF!</f>
        <v>#REF!</v>
      </c>
    </row>
    <row r="185" spans="1:15" ht="15">
      <c r="A185" s="173" t="s">
        <v>1092</v>
      </c>
      <c r="B185" s="164" t="s">
        <v>1229</v>
      </c>
      <c r="C185" s="163" t="s">
        <v>1963</v>
      </c>
      <c r="D185" s="278">
        <f>LOOKUP(A185,'[4]PT OCT 2011'!$A$2:$A$730,'[4]PT OCT 2011'!$D$2:$D$730)</f>
        <v>287.16</v>
      </c>
      <c r="E185" s="247"/>
      <c r="F185" s="217"/>
      <c r="G185" s="186"/>
      <c r="H185" s="1"/>
      <c r="I185" s="145" t="e">
        <f>G178+#REF!</f>
        <v>#REF!</v>
      </c>
      <c r="O185" s="274" t="e">
        <f>D185/#REF!</f>
        <v>#REF!</v>
      </c>
    </row>
    <row r="186" spans="1:15" ht="15">
      <c r="A186" s="173" t="s">
        <v>1203</v>
      </c>
      <c r="B186" s="164" t="s">
        <v>1215</v>
      </c>
      <c r="C186" s="163" t="s">
        <v>178</v>
      </c>
      <c r="D186" s="278">
        <f>LOOKUP(A186,'[4]PT OCT 2011'!$A$2:$A$730,'[4]PT OCT 2011'!$D$2:$D$730)</f>
        <v>346124.435</v>
      </c>
      <c r="E186" s="252">
        <v>80542.99</v>
      </c>
      <c r="F186" s="217"/>
      <c r="G186" s="195"/>
      <c r="H186" s="1"/>
      <c r="O186" s="274" t="e">
        <f>D186/#REF!</f>
        <v>#REF!</v>
      </c>
    </row>
    <row r="187" spans="1:15" ht="15">
      <c r="A187" s="173" t="s">
        <v>1204</v>
      </c>
      <c r="B187" s="164" t="s">
        <v>1216</v>
      </c>
      <c r="C187" s="163" t="s">
        <v>178</v>
      </c>
      <c r="D187" s="278">
        <f>LOOKUP(A187,'[4]PT OCT 2011'!$A$2:$A$730,'[4]PT OCT 2011'!$D$2:$D$730)</f>
        <v>391236.2</v>
      </c>
      <c r="E187" s="250">
        <v>118054.29</v>
      </c>
      <c r="F187" s="217"/>
      <c r="G187" s="196"/>
      <c r="H187" s="1"/>
      <c r="O187" s="274" t="e">
        <f>D187/#REF!</f>
        <v>#REF!</v>
      </c>
    </row>
    <row r="188" spans="1:15" ht="15">
      <c r="A188" s="173" t="s">
        <v>1205</v>
      </c>
      <c r="B188" s="164" t="s">
        <v>1591</v>
      </c>
      <c r="C188" s="163" t="s">
        <v>178</v>
      </c>
      <c r="D188" s="278">
        <f>LOOKUP(A188,'[4]PT OCT 2011'!$A$2:$A$730,'[4]PT OCT 2011'!$D$2:$D$730)</f>
        <v>2481.5433</v>
      </c>
      <c r="E188" s="250">
        <v>554.55</v>
      </c>
      <c r="F188" s="217"/>
      <c r="G188" s="196"/>
      <c r="H188" s="1"/>
      <c r="O188" s="274" t="e">
        <f>D188/#REF!</f>
        <v>#REF!</v>
      </c>
    </row>
    <row r="189" spans="1:15" ht="15">
      <c r="A189" s="173" t="s">
        <v>1206</v>
      </c>
      <c r="B189" s="164" t="s">
        <v>1592</v>
      </c>
      <c r="C189" s="163" t="s">
        <v>178</v>
      </c>
      <c r="D189" s="278">
        <f>LOOKUP(A189,'[4]PT OCT 2011'!$A$2:$A$730,'[4]PT OCT 2011'!$D$2:$D$730)</f>
        <v>2915.9767</v>
      </c>
      <c r="E189" s="250">
        <v>692.56</v>
      </c>
      <c r="F189" s="217"/>
      <c r="G189" s="196"/>
      <c r="H189" s="1"/>
      <c r="O189" s="274" t="e">
        <f>D189/#REF!</f>
        <v>#REF!</v>
      </c>
    </row>
    <row r="190" spans="1:15" ht="15">
      <c r="A190" s="173" t="s">
        <v>1207</v>
      </c>
      <c r="B190" s="164" t="s">
        <v>1593</v>
      </c>
      <c r="C190" s="163" t="s">
        <v>178</v>
      </c>
      <c r="D190" s="278">
        <f>LOOKUP(A190,'[4]PT OCT 2011'!$A$2:$A$730,'[4]PT OCT 2011'!$D$2:$D$730)</f>
        <v>3362.5367</v>
      </c>
      <c r="E190" s="250">
        <v>762.81</v>
      </c>
      <c r="F190" s="217"/>
      <c r="G190" s="196"/>
      <c r="H190" s="1"/>
      <c r="O190" s="274" t="e">
        <f>D190/#REF!</f>
        <v>#REF!</v>
      </c>
    </row>
    <row r="191" spans="1:15" ht="15">
      <c r="A191" s="173" t="s">
        <v>1217</v>
      </c>
      <c r="B191" s="164" t="s">
        <v>1219</v>
      </c>
      <c r="C191" s="163" t="s">
        <v>178</v>
      </c>
      <c r="D191" s="278">
        <f>LOOKUP(A191,'[4]PT OCT 2011'!$A$2:$A$730,'[4]PT OCT 2011'!$D$2:$D$730)</f>
        <v>66500</v>
      </c>
      <c r="E191" s="253">
        <v>9504.13</v>
      </c>
      <c r="F191" s="217"/>
      <c r="G191" s="195"/>
      <c r="H191" s="1"/>
      <c r="O191" s="274" t="e">
        <f>D191/#REF!</f>
        <v>#REF!</v>
      </c>
    </row>
    <row r="192" spans="1:15" ht="15">
      <c r="A192" s="173" t="s">
        <v>1218</v>
      </c>
      <c r="B192" s="164" t="s">
        <v>1220</v>
      </c>
      <c r="C192" s="163" t="s">
        <v>178</v>
      </c>
      <c r="D192" s="278">
        <f>LOOKUP(A192,'[4]PT OCT 2011'!$A$2:$A$730,'[4]PT OCT 2011'!$D$2:$D$730)</f>
        <v>66500</v>
      </c>
      <c r="E192" s="253">
        <v>9504.13</v>
      </c>
      <c r="F192" s="217"/>
      <c r="G192" s="196"/>
      <c r="H192" s="1"/>
      <c r="O192" s="274" t="e">
        <f>D192/#REF!</f>
        <v>#REF!</v>
      </c>
    </row>
    <row r="193" spans="1:15" ht="15">
      <c r="A193" s="173" t="s">
        <v>364</v>
      </c>
      <c r="B193" s="164" t="s">
        <v>365</v>
      </c>
      <c r="C193" s="163" t="s">
        <v>178</v>
      </c>
      <c r="D193" s="278">
        <f>LOOKUP(A193,'[4]PT OCT 2011'!$A$2:$A$730,'[4]PT OCT 2011'!$D$2:$D$730)</f>
        <v>322.31</v>
      </c>
      <c r="E193" s="251"/>
      <c r="F193" s="218"/>
      <c r="G193" s="194">
        <f>77/1.21</f>
        <v>63.63636363636364</v>
      </c>
      <c r="H193" s="1" t="s">
        <v>1249</v>
      </c>
      <c r="L193" s="15">
        <v>1</v>
      </c>
      <c r="O193" s="274" t="e">
        <f>D193/#REF!</f>
        <v>#REF!</v>
      </c>
    </row>
    <row r="194" spans="1:15" ht="15">
      <c r="A194" s="173" t="s">
        <v>145</v>
      </c>
      <c r="B194" s="164" t="s">
        <v>1158</v>
      </c>
      <c r="C194" s="163" t="s">
        <v>1953</v>
      </c>
      <c r="D194" s="278">
        <f>LOOKUP(A194,'[4]PT OCT 2011'!$A$2:$A$730,'[4]PT OCT 2011'!$D$2:$D$730)</f>
        <v>18.85</v>
      </c>
      <c r="E194" s="254">
        <v>0.1885</v>
      </c>
      <c r="F194" s="218"/>
      <c r="G194" s="187"/>
      <c r="H194" s="1"/>
      <c r="L194" s="15">
        <v>1</v>
      </c>
      <c r="O194" s="274" t="e">
        <f>D194/#REF!</f>
        <v>#REF!</v>
      </c>
    </row>
    <row r="195" spans="1:15" ht="15">
      <c r="A195" s="173" t="s">
        <v>144</v>
      </c>
      <c r="B195" s="164" t="s">
        <v>238</v>
      </c>
      <c r="C195" s="163" t="s">
        <v>5</v>
      </c>
      <c r="D195" s="278">
        <f>LOOKUP(A195,'[4]PT OCT 2011'!$A$2:$A$730,'[4]PT OCT 2011'!$D$2:$D$730)</f>
        <v>4.85</v>
      </c>
      <c r="E195" s="255">
        <v>2.95</v>
      </c>
      <c r="F195" s="218"/>
      <c r="G195" s="187"/>
      <c r="H195" s="1" t="s">
        <v>1165</v>
      </c>
      <c r="I195" s="15">
        <f>(2.83+2.81+2.82+2.82+2.82+2.78+2.8+2.79+2.79+2.82+2.87+2.97+2.95+2.89+2.87+2.91+2.92+2.91+2.89+2.9+2.9+2.87)/22</f>
        <v>2.8604545454545454</v>
      </c>
      <c r="L195" s="15">
        <v>1</v>
      </c>
      <c r="O195" s="274" t="e">
        <f>D195/#REF!</f>
        <v>#REF!</v>
      </c>
    </row>
    <row r="196" spans="1:15" ht="15">
      <c r="A196" s="173" t="s">
        <v>332</v>
      </c>
      <c r="B196" s="164" t="s">
        <v>1093</v>
      </c>
      <c r="C196" s="163" t="s">
        <v>1953</v>
      </c>
      <c r="D196" s="278">
        <f>LOOKUP(A196,'[4]PT OCT 2011'!$A$2:$A$730,'[4]PT OCT 2011'!$D$2:$D$730)</f>
        <v>12.2</v>
      </c>
      <c r="E196" s="254">
        <v>0.122</v>
      </c>
      <c r="F196" s="218"/>
      <c r="G196" s="187"/>
      <c r="H196" s="1"/>
      <c r="L196" s="15">
        <v>1</v>
      </c>
      <c r="O196" s="274" t="e">
        <f>D196/#REF!</f>
        <v>#REF!</v>
      </c>
    </row>
    <row r="197" spans="1:15" ht="15">
      <c r="A197" s="173" t="s">
        <v>334</v>
      </c>
      <c r="B197" s="164" t="s">
        <v>1094</v>
      </c>
      <c r="C197" s="163" t="s">
        <v>178</v>
      </c>
      <c r="D197" s="278">
        <f>LOOKUP(A197,'[4]PT OCT 2011'!$A$2:$A$730,'[4]PT OCT 2011'!$D$2:$D$730)</f>
        <v>120</v>
      </c>
      <c r="E197" s="246">
        <v>120</v>
      </c>
      <c r="F197" s="218"/>
      <c r="G197" s="187"/>
      <c r="H197" s="1" t="s">
        <v>1298</v>
      </c>
      <c r="L197" s="15">
        <v>1</v>
      </c>
      <c r="O197" s="274" t="e">
        <f>D197/#REF!</f>
        <v>#REF!</v>
      </c>
    </row>
    <row r="198" spans="1:15" ht="15">
      <c r="A198" s="173" t="s">
        <v>335</v>
      </c>
      <c r="B198" s="164" t="s">
        <v>336</v>
      </c>
      <c r="C198" s="163" t="s">
        <v>1976</v>
      </c>
      <c r="D198" s="278">
        <f>LOOKUP(A198,'[4]PT OCT 2011'!$A$2:$A$730,'[4]PT OCT 2011'!$D$2:$D$730)</f>
        <v>16.53</v>
      </c>
      <c r="E198" s="246">
        <v>9.5</v>
      </c>
      <c r="F198" s="218"/>
      <c r="G198" s="187"/>
      <c r="H198" s="1" t="s">
        <v>1297</v>
      </c>
      <c r="L198" s="15">
        <v>1</v>
      </c>
      <c r="O198" s="274" t="e">
        <f>D198/#REF!</f>
        <v>#REF!</v>
      </c>
    </row>
    <row r="199" spans="1:15" ht="15">
      <c r="A199" s="173" t="s">
        <v>1208</v>
      </c>
      <c r="B199" s="164" t="s">
        <v>1214</v>
      </c>
      <c r="C199" s="163" t="s">
        <v>178</v>
      </c>
      <c r="D199" s="278">
        <f>LOOKUP(A199,'[4]PT OCT 2011'!$A$2:$A$730,'[4]PT OCT 2011'!$D$2:$D$730)</f>
        <v>6948.06</v>
      </c>
      <c r="E199" s="250">
        <v>1033.2</v>
      </c>
      <c r="F199" s="218"/>
      <c r="G199" s="196"/>
      <c r="H199" s="1"/>
      <c r="O199" s="274" t="e">
        <f>D199/#REF!</f>
        <v>#REF!</v>
      </c>
    </row>
    <row r="200" spans="1:15" ht="15">
      <c r="A200" s="173" t="s">
        <v>1209</v>
      </c>
      <c r="B200" s="164" t="s">
        <v>1213</v>
      </c>
      <c r="C200" s="163" t="s">
        <v>178</v>
      </c>
      <c r="D200" s="278">
        <f>LOOKUP(A200,'[4]PT OCT 2011'!$A$2:$A$730,'[4]PT OCT 2011'!$D$2:$D$730)</f>
        <v>8935.5</v>
      </c>
      <c r="E200" s="250">
        <v>1033.2</v>
      </c>
      <c r="F200" s="218"/>
      <c r="G200" s="196"/>
      <c r="H200" s="1"/>
      <c r="O200" s="274" t="e">
        <f>D200/#REF!</f>
        <v>#REF!</v>
      </c>
    </row>
    <row r="201" spans="1:15" ht="15">
      <c r="A201" s="173" t="s">
        <v>189</v>
      </c>
      <c r="B201" s="164" t="s">
        <v>239</v>
      </c>
      <c r="C201" s="163" t="s">
        <v>178</v>
      </c>
      <c r="D201" s="278">
        <f>LOOKUP(A201,'[4]PT OCT 2011'!$A$2:$A$730,'[4]PT OCT 2011'!$D$2:$D$730)</f>
        <v>38.015</v>
      </c>
      <c r="E201" s="256">
        <v>15.17</v>
      </c>
      <c r="F201" s="221"/>
      <c r="G201" s="187"/>
      <c r="H201" s="133" t="s">
        <v>1266</v>
      </c>
      <c r="L201" s="15">
        <v>1</v>
      </c>
      <c r="O201" s="274" t="e">
        <f>D201/#REF!</f>
        <v>#REF!</v>
      </c>
    </row>
    <row r="202" spans="1:15" ht="15">
      <c r="A202" s="173" t="s">
        <v>190</v>
      </c>
      <c r="B202" s="164" t="s">
        <v>191</v>
      </c>
      <c r="C202" s="163" t="s">
        <v>349</v>
      </c>
      <c r="D202" s="278">
        <f>LOOKUP(A202,'[4]PT OCT 2011'!$A$2:$A$730,'[4]PT OCT 2011'!$D$2:$D$730)</f>
        <v>10.0467</v>
      </c>
      <c r="E202" s="256">
        <v>2.2</v>
      </c>
      <c r="F202" s="221"/>
      <c r="G202" s="187"/>
      <c r="H202" s="133"/>
      <c r="L202" s="15">
        <v>1</v>
      </c>
      <c r="O202" s="274" t="e">
        <f>D202/#REF!</f>
        <v>#REF!</v>
      </c>
    </row>
    <row r="203" spans="1:15" ht="15">
      <c r="A203" s="173" t="s">
        <v>1514</v>
      </c>
      <c r="B203" s="165" t="s">
        <v>1513</v>
      </c>
      <c r="C203" s="166" t="s">
        <v>178</v>
      </c>
      <c r="D203" s="278">
        <f>LOOKUP(A203,'[4]PT OCT 2011'!$A$2:$A$730,'[4]PT OCT 2011'!$D$2:$D$730)</f>
        <v>117.375</v>
      </c>
      <c r="E203" s="257">
        <v>47.13</v>
      </c>
      <c r="F203" s="218"/>
      <c r="G203" s="187"/>
      <c r="H203" s="1"/>
      <c r="O203" s="274" t="e">
        <f>D203/#REF!</f>
        <v>#REF!</v>
      </c>
    </row>
    <row r="204" spans="1:15" ht="15">
      <c r="A204" s="173" t="s">
        <v>1486</v>
      </c>
      <c r="B204" s="165" t="s">
        <v>1487</v>
      </c>
      <c r="C204" s="166" t="s">
        <v>178</v>
      </c>
      <c r="D204" s="278">
        <f>LOOKUP(A204,'[4]PT OCT 2011'!$A$2:$A$730,'[4]PT OCT 2011'!$D$2:$D$730)</f>
        <v>45.805</v>
      </c>
      <c r="E204" s="256">
        <v>9.33</v>
      </c>
      <c r="F204" s="218"/>
      <c r="G204" s="187"/>
      <c r="H204" s="1"/>
      <c r="O204" s="274" t="e">
        <f>D204/#REF!</f>
        <v>#REF!</v>
      </c>
    </row>
    <row r="205" spans="1:15" ht="15">
      <c r="A205" s="173" t="s">
        <v>1714</v>
      </c>
      <c r="B205" s="164" t="s">
        <v>2039</v>
      </c>
      <c r="C205" s="163" t="s">
        <v>1849</v>
      </c>
      <c r="D205" s="278">
        <f>LOOKUP(A205,'[4]PT OCT 2011'!$A$2:$A$730,'[4]PT OCT 2011'!$D$2:$D$730)</f>
        <v>23.7833</v>
      </c>
      <c r="E205" s="246">
        <v>6.2206</v>
      </c>
      <c r="F205" s="218"/>
      <c r="G205" s="187"/>
      <c r="H205" s="1" t="s">
        <v>1248</v>
      </c>
      <c r="L205" s="15">
        <v>1</v>
      </c>
      <c r="O205" s="274" t="e">
        <f>D205/#REF!</f>
        <v>#REF!</v>
      </c>
    </row>
    <row r="206" spans="1:15" ht="15">
      <c r="A206" s="173" t="s">
        <v>1929</v>
      </c>
      <c r="B206" s="164" t="s">
        <v>240</v>
      </c>
      <c r="C206" s="163" t="s">
        <v>178</v>
      </c>
      <c r="D206" s="278">
        <f>LOOKUP(A206,'[4]PT OCT 2011'!$A$2:$A$730,'[4]PT OCT 2011'!$D$2:$D$730)</f>
        <v>46.9933</v>
      </c>
      <c r="E206" s="246">
        <v>11.07</v>
      </c>
      <c r="F206" s="218"/>
      <c r="G206" s="187"/>
      <c r="H206" s="1" t="s">
        <v>1261</v>
      </c>
      <c r="L206" s="15">
        <v>1</v>
      </c>
      <c r="O206" s="274" t="e">
        <f>D206/#REF!</f>
        <v>#REF!</v>
      </c>
    </row>
    <row r="207" spans="1:15" ht="15">
      <c r="A207" s="173" t="s">
        <v>146</v>
      </c>
      <c r="B207" s="164" t="s">
        <v>124</v>
      </c>
      <c r="C207" s="163" t="s">
        <v>178</v>
      </c>
      <c r="D207" s="278">
        <f>LOOKUP(A207,'[4]PT OCT 2011'!$A$2:$A$730,'[4]PT OCT 2011'!$D$2:$D$730)</f>
        <v>194.21</v>
      </c>
      <c r="E207" s="246">
        <v>60.69</v>
      </c>
      <c r="F207" s="221"/>
      <c r="G207" s="187"/>
      <c r="H207" s="1"/>
      <c r="L207" s="15">
        <v>2</v>
      </c>
      <c r="O207" s="274" t="e">
        <f>D207/#REF!</f>
        <v>#REF!</v>
      </c>
    </row>
    <row r="208" spans="1:15" ht="15">
      <c r="A208" s="173" t="s">
        <v>1717</v>
      </c>
      <c r="B208" s="164" t="s">
        <v>60</v>
      </c>
      <c r="C208" s="163" t="s">
        <v>178</v>
      </c>
      <c r="D208" s="278">
        <f>LOOKUP(A208,'[4]PT OCT 2011'!$A$2:$A$730,'[4]PT OCT 2011'!$D$2:$D$730)</f>
        <v>887.6</v>
      </c>
      <c r="E208" s="246">
        <v>290.91</v>
      </c>
      <c r="F208" s="218"/>
      <c r="G208" s="187"/>
      <c r="H208" s="1"/>
      <c r="L208" s="15">
        <v>1</v>
      </c>
      <c r="O208" s="274" t="e">
        <f>D208/#REF!</f>
        <v>#REF!</v>
      </c>
    </row>
    <row r="209" spans="1:15" ht="15">
      <c r="A209" s="173" t="s">
        <v>1716</v>
      </c>
      <c r="B209" s="164" t="s">
        <v>61</v>
      </c>
      <c r="C209" s="163" t="s">
        <v>178</v>
      </c>
      <c r="D209" s="278">
        <f>LOOKUP(A209,'[4]PT OCT 2011'!$A$2:$A$730,'[4]PT OCT 2011'!$D$2:$D$730)</f>
        <v>1147.935</v>
      </c>
      <c r="E209" s="246">
        <v>317.6</v>
      </c>
      <c r="F209" s="218"/>
      <c r="G209" s="187"/>
      <c r="H209" s="1"/>
      <c r="L209" s="15">
        <v>1</v>
      </c>
      <c r="O209" s="274" t="e">
        <f>D209/#REF!</f>
        <v>#REF!</v>
      </c>
    </row>
    <row r="210" spans="1:15" ht="15">
      <c r="A210" s="173" t="s">
        <v>1715</v>
      </c>
      <c r="B210" s="164" t="s">
        <v>62</v>
      </c>
      <c r="C210" s="163" t="s">
        <v>178</v>
      </c>
      <c r="D210" s="278">
        <f>LOOKUP(A210,'[4]PT OCT 2011'!$A$2:$A$730,'[4]PT OCT 2011'!$D$2:$D$730)</f>
        <v>871.075</v>
      </c>
      <c r="E210" s="246">
        <v>267.44</v>
      </c>
      <c r="F210" s="218"/>
      <c r="G210" s="187"/>
      <c r="H210" s="1"/>
      <c r="L210" s="15">
        <v>1</v>
      </c>
      <c r="O210" s="274" t="e">
        <f>D210/#REF!</f>
        <v>#REF!</v>
      </c>
    </row>
    <row r="211" spans="1:15" ht="15">
      <c r="A211" s="173" t="s">
        <v>1713</v>
      </c>
      <c r="B211" s="164" t="s">
        <v>182</v>
      </c>
      <c r="C211" s="163" t="s">
        <v>178</v>
      </c>
      <c r="D211" s="278">
        <f>LOOKUP(A211,'[4]PT OCT 2011'!$A$2:$A$730,'[4]PT OCT 2011'!$D$2:$D$730)</f>
        <v>150.55</v>
      </c>
      <c r="E211" s="246">
        <f>44.85/1.21</f>
        <v>37.066115702479344</v>
      </c>
      <c r="F211" s="218"/>
      <c r="G211" s="187"/>
      <c r="H211" s="1"/>
      <c r="L211" s="15">
        <v>1</v>
      </c>
      <c r="O211" s="274" t="e">
        <f>D211/#REF!</f>
        <v>#REF!</v>
      </c>
    </row>
    <row r="212" spans="1:15" ht="15">
      <c r="A212" s="173" t="s">
        <v>1712</v>
      </c>
      <c r="B212" s="164" t="s">
        <v>241</v>
      </c>
      <c r="C212" s="163" t="s">
        <v>178</v>
      </c>
      <c r="D212" s="278">
        <f>LOOKUP(A212,'[4]PT OCT 2011'!$A$2:$A$730,'[4]PT OCT 2011'!$D$2:$D$730)</f>
        <v>70.4333</v>
      </c>
      <c r="E212" s="246">
        <v>9.58</v>
      </c>
      <c r="F212" s="218"/>
      <c r="G212" s="187"/>
      <c r="H212" s="1"/>
      <c r="L212" s="15">
        <v>1</v>
      </c>
      <c r="O212" s="274" t="e">
        <f>D212/#REF!</f>
        <v>#REF!</v>
      </c>
    </row>
    <row r="213" spans="1:15" ht="15">
      <c r="A213" s="173" t="s">
        <v>1482</v>
      </c>
      <c r="B213" s="164" t="s">
        <v>1483</v>
      </c>
      <c r="C213" s="163" t="s">
        <v>178</v>
      </c>
      <c r="D213" s="278">
        <f>LOOKUP(A213,'[4]PT OCT 2011'!$A$2:$A$730,'[4]PT OCT 2011'!$D$2:$D$730)</f>
        <v>100.845</v>
      </c>
      <c r="E213" s="257">
        <v>11.99</v>
      </c>
      <c r="F213" s="218"/>
      <c r="G213" s="187"/>
      <c r="H213" s="1"/>
      <c r="O213" s="274" t="e">
        <f>D213/#REF!</f>
        <v>#REF!</v>
      </c>
    </row>
    <row r="214" spans="1:17" s="387" customFormat="1" ht="15">
      <c r="A214" s="380" t="s">
        <v>1808</v>
      </c>
      <c r="B214" s="381" t="s">
        <v>2040</v>
      </c>
      <c r="C214" s="382" t="s">
        <v>1849</v>
      </c>
      <c r="D214" s="278">
        <v>34.81</v>
      </c>
      <c r="E214" s="383">
        <v>6.92</v>
      </c>
      <c r="F214" s="384"/>
      <c r="G214" s="385"/>
      <c r="H214" s="386"/>
      <c r="L214" s="387">
        <v>1</v>
      </c>
      <c r="O214" s="388" t="e">
        <f>D214/#REF!</f>
        <v>#REF!</v>
      </c>
      <c r="Q214" s="387">
        <v>34.81</v>
      </c>
    </row>
    <row r="215" spans="1:15" ht="15">
      <c r="A215" s="173" t="s">
        <v>1480</v>
      </c>
      <c r="B215" s="165" t="s">
        <v>1481</v>
      </c>
      <c r="C215" s="166" t="s">
        <v>1849</v>
      </c>
      <c r="D215" s="278">
        <f>LOOKUP(A215,'[4]PT OCT 2011'!$A$2:$A$730,'[4]PT OCT 2011'!$D$2:$D$730)</f>
        <v>14.525</v>
      </c>
      <c r="E215" s="257">
        <v>31.68</v>
      </c>
      <c r="F215" s="218"/>
      <c r="G215" s="187"/>
      <c r="H215" s="1"/>
      <c r="O215" s="274" t="e">
        <f>D215/#REF!</f>
        <v>#REF!</v>
      </c>
    </row>
    <row r="216" spans="1:15" ht="15">
      <c r="A216" s="173" t="s">
        <v>207</v>
      </c>
      <c r="B216" s="164" t="s">
        <v>208</v>
      </c>
      <c r="C216" s="163" t="s">
        <v>1849</v>
      </c>
      <c r="D216" s="278">
        <f>LOOKUP(A216,'[4]PT OCT 2011'!$A$2:$A$730,'[4]PT OCT 2011'!$D$2:$D$730)</f>
        <v>16.18</v>
      </c>
      <c r="E216" s="246">
        <v>5.15</v>
      </c>
      <c r="F216" s="218"/>
      <c r="G216" s="187"/>
      <c r="H216" s="1"/>
      <c r="L216" s="15">
        <v>1</v>
      </c>
      <c r="O216" s="274" t="e">
        <f>D216/#REF!</f>
        <v>#REF!</v>
      </c>
    </row>
    <row r="217" spans="1:15" ht="15">
      <c r="A217" s="173" t="s">
        <v>209</v>
      </c>
      <c r="B217" s="164" t="s">
        <v>210</v>
      </c>
      <c r="C217" s="163" t="s">
        <v>1849</v>
      </c>
      <c r="D217" s="278">
        <f>LOOKUP(A217,'[4]PT OCT 2011'!$A$2:$A$730,'[4]PT OCT 2011'!$D$2:$D$730)</f>
        <v>24.035</v>
      </c>
      <c r="E217" s="246">
        <v>7.28</v>
      </c>
      <c r="F217" s="218"/>
      <c r="G217" s="187"/>
      <c r="H217" s="1"/>
      <c r="L217" s="15">
        <v>1</v>
      </c>
      <c r="O217" s="274" t="e">
        <f>D217/#REF!</f>
        <v>#REF!</v>
      </c>
    </row>
    <row r="218" spans="1:15" ht="15">
      <c r="A218" s="173" t="s">
        <v>1484</v>
      </c>
      <c r="B218" s="164" t="s">
        <v>1485</v>
      </c>
      <c r="C218" s="163" t="s">
        <v>178</v>
      </c>
      <c r="D218" s="278">
        <f>LOOKUP(A218,'[4]PT OCT 2011'!$A$2:$A$730,'[4]PT OCT 2011'!$D$2:$D$730)</f>
        <v>6.37</v>
      </c>
      <c r="E218" s="246">
        <v>1.35</v>
      </c>
      <c r="F218" s="218"/>
      <c r="G218" s="187"/>
      <c r="H218" s="1"/>
      <c r="O218" s="274" t="e">
        <f>D218/#REF!</f>
        <v>#REF!</v>
      </c>
    </row>
    <row r="219" spans="1:15" ht="15">
      <c r="A219" s="173" t="s">
        <v>1809</v>
      </c>
      <c r="B219" s="164" t="s">
        <v>2037</v>
      </c>
      <c r="C219" s="163" t="s">
        <v>178</v>
      </c>
      <c r="D219" s="278">
        <f>LOOKUP(A219,'[4]PT OCT 2011'!$A$2:$A$730,'[4]PT OCT 2011'!$D$2:$D$730)</f>
        <v>7.6867</v>
      </c>
      <c r="E219" s="246">
        <f>1.5/1.21</f>
        <v>1.2396694214876034</v>
      </c>
      <c r="F219" s="218"/>
      <c r="G219" s="187"/>
      <c r="H219" s="1"/>
      <c r="L219" s="15">
        <v>1</v>
      </c>
      <c r="O219" s="274" t="e">
        <f>D219/#REF!</f>
        <v>#REF!</v>
      </c>
    </row>
    <row r="220" spans="1:15" ht="15" hidden="1">
      <c r="A220" s="197" t="s">
        <v>1337</v>
      </c>
      <c r="B220" s="165" t="s">
        <v>1349</v>
      </c>
      <c r="C220" s="166" t="s">
        <v>178</v>
      </c>
      <c r="D220" s="278">
        <f>LOOKUP(A220,'[4]PT OCT 2011'!$A$2:$A$730,'[4]PT OCT 2011'!$D$2:$D$730)</f>
        <v>16.045</v>
      </c>
      <c r="E220" s="258">
        <f>E212</f>
        <v>9.58</v>
      </c>
      <c r="F220" s="218"/>
      <c r="G220" s="187"/>
      <c r="H220" s="1"/>
      <c r="O220" s="274" t="e">
        <f>D220/#REF!</f>
        <v>#REF!</v>
      </c>
    </row>
    <row r="221" spans="1:15" ht="15" hidden="1">
      <c r="A221" s="197" t="s">
        <v>1338</v>
      </c>
      <c r="B221" s="165" t="s">
        <v>1350</v>
      </c>
      <c r="C221" s="166" t="s">
        <v>178</v>
      </c>
      <c r="D221" s="278">
        <f>LOOKUP(A221,'[4]PT OCT 2011'!$A$2:$A$730,'[4]PT OCT 2011'!$D$2:$D$730)</f>
        <v>91.54</v>
      </c>
      <c r="E221" s="230">
        <f>E213</f>
        <v>11.99</v>
      </c>
      <c r="F221" s="218"/>
      <c r="G221" s="187"/>
      <c r="H221" s="1"/>
      <c r="O221" s="274" t="e">
        <f>D221/#REF!</f>
        <v>#REF!</v>
      </c>
    </row>
    <row r="222" spans="1:15" ht="15" hidden="1">
      <c r="A222" s="197" t="s">
        <v>1339</v>
      </c>
      <c r="B222" s="165" t="s">
        <v>1351</v>
      </c>
      <c r="C222" s="166" t="s">
        <v>1849</v>
      </c>
      <c r="D222" s="278">
        <f>LOOKUP(A222,'[4]PT OCT 2011'!$A$2:$A$730,'[4]PT OCT 2011'!$D$2:$D$730)</f>
        <v>27.745</v>
      </c>
      <c r="E222" s="257">
        <f>E215</f>
        <v>31.68</v>
      </c>
      <c r="F222" s="218"/>
      <c r="G222" s="187"/>
      <c r="H222" s="1"/>
      <c r="O222" s="274" t="e">
        <f>D222/#REF!</f>
        <v>#REF!</v>
      </c>
    </row>
    <row r="223" spans="1:15" ht="15" hidden="1">
      <c r="A223" s="173" t="s">
        <v>1340</v>
      </c>
      <c r="B223" s="165" t="s">
        <v>1352</v>
      </c>
      <c r="C223" s="166" t="s">
        <v>178</v>
      </c>
      <c r="D223" s="278">
        <f>LOOKUP(A223,'[4]PT OCT 2011'!$A$2:$A$730,'[4]PT OCT 2011'!$D$2:$D$730)</f>
        <v>27.745</v>
      </c>
      <c r="E223" s="258">
        <f>E218</f>
        <v>1.35</v>
      </c>
      <c r="F223" s="218"/>
      <c r="G223" s="187"/>
      <c r="H223" s="1"/>
      <c r="O223" s="274" t="e">
        <f>D223/#REF!</f>
        <v>#REF!</v>
      </c>
    </row>
    <row r="224" spans="1:15" ht="15" hidden="1">
      <c r="A224" s="173" t="s">
        <v>1341</v>
      </c>
      <c r="B224" s="165" t="s">
        <v>1353</v>
      </c>
      <c r="C224" s="166" t="s">
        <v>178</v>
      </c>
      <c r="D224" s="278">
        <f>LOOKUP(A224,'[4]PT OCT 2011'!$A$2:$A$730,'[4]PT OCT 2011'!$D$2:$D$730)</f>
        <v>7.27</v>
      </c>
      <c r="E224" s="258">
        <f>E219</f>
        <v>1.2396694214876034</v>
      </c>
      <c r="F224" s="218"/>
      <c r="G224" s="187"/>
      <c r="H224" s="1"/>
      <c r="O224" s="274" t="e">
        <f>D224/#REF!</f>
        <v>#REF!</v>
      </c>
    </row>
    <row r="225" spans="1:15" ht="15">
      <c r="A225" s="173" t="s">
        <v>1342</v>
      </c>
      <c r="B225" s="165" t="s">
        <v>1354</v>
      </c>
      <c r="C225" s="166" t="s">
        <v>178</v>
      </c>
      <c r="D225" s="278">
        <f>LOOKUP(A225,'[4]PT OCT 2011'!$A$2:$A$730,'[4]PT OCT 2011'!$D$2:$D$730)</f>
        <v>2.95</v>
      </c>
      <c r="E225" s="257">
        <v>1.13</v>
      </c>
      <c r="F225" s="218"/>
      <c r="G225" s="187"/>
      <c r="H225" s="1"/>
      <c r="O225" s="274" t="e">
        <f>D225/#REF!</f>
        <v>#REF!</v>
      </c>
    </row>
    <row r="226" spans="1:15" ht="15">
      <c r="A226" s="173" t="s">
        <v>1343</v>
      </c>
      <c r="B226" s="165" t="s">
        <v>1355</v>
      </c>
      <c r="C226" s="166" t="s">
        <v>178</v>
      </c>
      <c r="D226" s="278">
        <f>LOOKUP(A226,'[4]PT OCT 2011'!$A$2:$A$730,'[4]PT OCT 2011'!$D$2:$D$730)</f>
        <v>11.45</v>
      </c>
      <c r="E226" s="257">
        <v>1.85</v>
      </c>
      <c r="F226" s="218"/>
      <c r="G226" s="187"/>
      <c r="H226" s="1"/>
      <c r="O226" s="274" t="e">
        <f>D226/#REF!</f>
        <v>#REF!</v>
      </c>
    </row>
    <row r="227" spans="1:15" ht="15" hidden="1">
      <c r="A227" s="197" t="s">
        <v>1344</v>
      </c>
      <c r="B227" s="165" t="s">
        <v>1356</v>
      </c>
      <c r="C227" s="166" t="s">
        <v>178</v>
      </c>
      <c r="D227" s="278">
        <f>LOOKUP(A227,'[4]PT OCT 2011'!$A$2:$A$730,'[4]PT OCT 2011'!$D$2:$D$730)</f>
        <v>8.77</v>
      </c>
      <c r="E227" s="258">
        <f>E232</f>
        <v>0.61</v>
      </c>
      <c r="F227" s="218"/>
      <c r="G227" s="187"/>
      <c r="H227" s="1"/>
      <c r="O227" s="274" t="e">
        <f>D227/#REF!</f>
        <v>#REF!</v>
      </c>
    </row>
    <row r="228" spans="1:15" ht="15" hidden="1">
      <c r="A228" s="197" t="s">
        <v>1345</v>
      </c>
      <c r="B228" s="165" t="s">
        <v>1357</v>
      </c>
      <c r="C228" s="166" t="s">
        <v>178</v>
      </c>
      <c r="D228" s="278">
        <f>LOOKUP(A228,'[4]PT OCT 2011'!$A$2:$A$730,'[4]PT OCT 2011'!$D$2:$D$730)</f>
        <v>12.48</v>
      </c>
      <c r="E228" s="258">
        <f>E234</f>
        <v>0.51</v>
      </c>
      <c r="F228" s="218"/>
      <c r="G228" s="187"/>
      <c r="H228" s="1"/>
      <c r="O228" s="274" t="e">
        <f>D228/#REF!</f>
        <v>#REF!</v>
      </c>
    </row>
    <row r="229" spans="1:15" ht="15" hidden="1">
      <c r="A229" s="197" t="s">
        <v>1346</v>
      </c>
      <c r="B229" s="165" t="s">
        <v>1358</v>
      </c>
      <c r="C229" s="166" t="s">
        <v>178</v>
      </c>
      <c r="D229" s="278">
        <f>LOOKUP(A229,'[4]PT OCT 2011'!$A$2:$A$730,'[4]PT OCT 2011'!$D$2:$D$730)</f>
        <v>20.535</v>
      </c>
      <c r="E229" s="258">
        <f>E233</f>
        <v>0.76</v>
      </c>
      <c r="F229" s="218"/>
      <c r="G229" s="187"/>
      <c r="H229" s="1"/>
      <c r="O229" s="274" t="e">
        <f>D229/#REF!</f>
        <v>#REF!</v>
      </c>
    </row>
    <row r="230" spans="1:15" ht="15">
      <c r="A230" s="173" t="s">
        <v>1347</v>
      </c>
      <c r="B230" s="165" t="s">
        <v>1359</v>
      </c>
      <c r="C230" s="166" t="s">
        <v>178</v>
      </c>
      <c r="D230" s="278">
        <f>LOOKUP(A230,'[4]PT OCT 2011'!$A$2:$A$730,'[4]PT OCT 2011'!$D$2:$D$730)</f>
        <v>25.315</v>
      </c>
      <c r="E230" s="257">
        <v>14.11</v>
      </c>
      <c r="F230" s="218"/>
      <c r="G230" s="187"/>
      <c r="H230" s="1"/>
      <c r="O230" s="274" t="e">
        <f>D230/#REF!</f>
        <v>#REF!</v>
      </c>
    </row>
    <row r="231" spans="1:15" ht="15" hidden="1">
      <c r="A231" s="173" t="s">
        <v>1348</v>
      </c>
      <c r="B231" s="165" t="s">
        <v>1360</v>
      </c>
      <c r="C231" s="166" t="s">
        <v>178</v>
      </c>
      <c r="D231" s="278">
        <f>LOOKUP(A231,'[4]PT OCT 2011'!$A$2:$A$730,'[4]PT OCT 2011'!$D$2:$D$730)</f>
        <v>117.375</v>
      </c>
      <c r="E231" s="258">
        <v>9.26</v>
      </c>
      <c r="F231" s="218"/>
      <c r="G231" s="187"/>
      <c r="H231" s="1"/>
      <c r="O231" s="274" t="e">
        <f>D231/#REF!</f>
        <v>#REF!</v>
      </c>
    </row>
    <row r="232" spans="1:15" ht="15">
      <c r="A232" s="173" t="s">
        <v>1499</v>
      </c>
      <c r="B232" s="165" t="s">
        <v>1500</v>
      </c>
      <c r="C232" s="166" t="s">
        <v>178</v>
      </c>
      <c r="D232" s="278">
        <f>LOOKUP(A232,'[4]PT OCT 2011'!$A$2:$A$730,'[4]PT OCT 2011'!$D$2:$D$730)</f>
        <v>4.68</v>
      </c>
      <c r="E232" s="257">
        <v>0.61</v>
      </c>
      <c r="F232" s="218"/>
      <c r="G232" s="187"/>
      <c r="H232" s="1"/>
      <c r="O232" s="274" t="e">
        <f>D232/#REF!</f>
        <v>#REF!</v>
      </c>
    </row>
    <row r="233" spans="1:15" ht="15">
      <c r="A233" s="173" t="s">
        <v>1495</v>
      </c>
      <c r="B233" s="165" t="s">
        <v>1496</v>
      </c>
      <c r="C233" s="166" t="s">
        <v>178</v>
      </c>
      <c r="D233" s="278">
        <f>LOOKUP(A233,'[4]PT OCT 2011'!$A$2:$A$730,'[4]PT OCT 2011'!$D$2:$D$730)</f>
        <v>5.685</v>
      </c>
      <c r="E233" s="257">
        <v>0.76</v>
      </c>
      <c r="F233" s="218"/>
      <c r="G233" s="187"/>
      <c r="H233" s="1"/>
      <c r="O233" s="274" t="e">
        <f>D233/#REF!</f>
        <v>#REF!</v>
      </c>
    </row>
    <row r="234" spans="1:15" ht="15">
      <c r="A234" s="173" t="s">
        <v>1498</v>
      </c>
      <c r="B234" s="165" t="s">
        <v>1497</v>
      </c>
      <c r="C234" s="166" t="s">
        <v>178</v>
      </c>
      <c r="D234" s="278">
        <f>LOOKUP(A234,'[4]PT OCT 2011'!$A$2:$A$730,'[4]PT OCT 2011'!$D$2:$D$730)</f>
        <v>3.645</v>
      </c>
      <c r="E234" s="257">
        <v>0.51</v>
      </c>
      <c r="F234" s="218"/>
      <c r="G234" s="187"/>
      <c r="H234" s="1"/>
      <c r="O234" s="274" t="e">
        <f>D234/#REF!</f>
        <v>#REF!</v>
      </c>
    </row>
    <row r="235" spans="1:15" ht="15">
      <c r="A235" s="173" t="s">
        <v>1686</v>
      </c>
      <c r="B235" s="164" t="s">
        <v>1986</v>
      </c>
      <c r="C235" s="163" t="s">
        <v>1987</v>
      </c>
      <c r="D235" s="278">
        <f>LOOKUP(A235,'[4]PT OCT 2011'!$A$2:$A$730,'[4]PT OCT 2011'!$D$2:$D$730)</f>
        <v>1200</v>
      </c>
      <c r="E235" s="246">
        <v>165.29</v>
      </c>
      <c r="F235" s="221"/>
      <c r="G235" s="196"/>
      <c r="H235" s="1" t="s">
        <v>1192</v>
      </c>
      <c r="L235" s="15">
        <v>2</v>
      </c>
      <c r="O235" s="274" t="e">
        <f>D235/#REF!</f>
        <v>#REF!</v>
      </c>
    </row>
    <row r="236" spans="1:15" ht="15">
      <c r="A236" s="173" t="s">
        <v>63</v>
      </c>
      <c r="B236" s="164" t="s">
        <v>64</v>
      </c>
      <c r="C236" s="163" t="s">
        <v>178</v>
      </c>
      <c r="D236" s="278">
        <f>LOOKUP(A236,'[4]PT OCT 2011'!$A$2:$A$730,'[4]PT OCT 2011'!$D$2:$D$730)</f>
        <v>2.69</v>
      </c>
      <c r="E236" s="246">
        <v>0.64</v>
      </c>
      <c r="F236" s="218"/>
      <c r="G236" s="187"/>
      <c r="H236" s="1" t="s">
        <v>1253</v>
      </c>
      <c r="L236" s="15">
        <v>1</v>
      </c>
      <c r="O236" s="274" t="e">
        <f>D236/#REF!</f>
        <v>#REF!</v>
      </c>
    </row>
    <row r="237" spans="1:15" ht="15">
      <c r="A237" s="173" t="s">
        <v>1687</v>
      </c>
      <c r="B237" s="164" t="s">
        <v>1984</v>
      </c>
      <c r="C237" s="163" t="s">
        <v>178</v>
      </c>
      <c r="D237" s="278">
        <f>LOOKUP(A237,'[4]PT OCT 2011'!$A$2:$A$730,'[4]PT OCT 2011'!$D$2:$D$730)</f>
        <v>2.1</v>
      </c>
      <c r="E237" s="246">
        <v>0.48</v>
      </c>
      <c r="F237" s="218"/>
      <c r="G237" s="187"/>
      <c r="H237" s="1" t="s">
        <v>1253</v>
      </c>
      <c r="L237" s="15">
        <v>1</v>
      </c>
      <c r="O237" s="274" t="e">
        <f>D237/#REF!</f>
        <v>#REF!</v>
      </c>
    </row>
    <row r="238" spans="1:15" ht="15">
      <c r="A238" s="173" t="s">
        <v>1863</v>
      </c>
      <c r="B238" s="164" t="s">
        <v>1985</v>
      </c>
      <c r="C238" s="163" t="s">
        <v>178</v>
      </c>
      <c r="D238" s="278">
        <f>LOOKUP(A238,'[4]PT OCT 2011'!$A$2:$A$730,'[4]PT OCT 2011'!$D$2:$D$730)</f>
        <v>3.63</v>
      </c>
      <c r="E238" s="246">
        <v>0.84</v>
      </c>
      <c r="F238" s="218"/>
      <c r="G238" s="187"/>
      <c r="H238" s="1" t="s">
        <v>1253</v>
      </c>
      <c r="L238" s="15">
        <v>1</v>
      </c>
      <c r="O238" s="274" t="e">
        <f>D238/#REF!</f>
        <v>#REF!</v>
      </c>
    </row>
    <row r="239" spans="1:15" ht="15">
      <c r="A239" s="173" t="s">
        <v>1910</v>
      </c>
      <c r="B239" s="164" t="s">
        <v>1511</v>
      </c>
      <c r="C239" s="163" t="s">
        <v>178</v>
      </c>
      <c r="D239" s="278">
        <f>LOOKUP(A239,'[4]PT OCT 2011'!$A$2:$A$730,'[4]PT OCT 2011'!$D$2:$D$730)</f>
        <v>4.94</v>
      </c>
      <c r="E239" s="246">
        <v>1.1</v>
      </c>
      <c r="F239" s="218"/>
      <c r="G239" s="187"/>
      <c r="H239" s="1" t="s">
        <v>1253</v>
      </c>
      <c r="L239" s="15">
        <v>1</v>
      </c>
      <c r="O239" s="274" t="e">
        <f>D239/#REF!</f>
        <v>#REF!</v>
      </c>
    </row>
    <row r="240" spans="1:15" ht="15">
      <c r="A240" s="173" t="s">
        <v>1697</v>
      </c>
      <c r="B240" s="164" t="s">
        <v>1258</v>
      </c>
      <c r="C240" s="163" t="s">
        <v>178</v>
      </c>
      <c r="D240" s="278">
        <f>LOOKUP(A240,'[4]PT OCT 2011'!$A$2:$A$730,'[4]PT OCT 2011'!$D$2:$D$730)</f>
        <v>5.53</v>
      </c>
      <c r="E240" s="246">
        <v>1.09</v>
      </c>
      <c r="F240" s="218"/>
      <c r="G240" s="187"/>
      <c r="H240" s="1" t="s">
        <v>1253</v>
      </c>
      <c r="L240" s="15">
        <v>1</v>
      </c>
      <c r="O240" s="274" t="e">
        <f>D240/#REF!</f>
        <v>#REF!</v>
      </c>
    </row>
    <row r="241" spans="1:15" ht="15">
      <c r="A241" s="173" t="s">
        <v>1692</v>
      </c>
      <c r="B241" s="164" t="s">
        <v>65</v>
      </c>
      <c r="C241" s="163" t="s">
        <v>2005</v>
      </c>
      <c r="D241" s="278">
        <f>LOOKUP(A241,'[4]PT OCT 2011'!$A$2:$A$730,'[4]PT OCT 2011'!$D$2:$D$730)</f>
        <v>1.525</v>
      </c>
      <c r="E241" s="259">
        <v>0.34</v>
      </c>
      <c r="F241" s="221"/>
      <c r="G241" s="187"/>
      <c r="H241" s="133" t="s">
        <v>1171</v>
      </c>
      <c r="L241" s="15">
        <v>2</v>
      </c>
      <c r="O241" s="274" t="e">
        <f>D241/#REF!</f>
        <v>#REF!</v>
      </c>
    </row>
    <row r="242" spans="1:15" ht="15">
      <c r="A242" s="173" t="s">
        <v>1685</v>
      </c>
      <c r="B242" s="164" t="s">
        <v>1971</v>
      </c>
      <c r="C242" s="163" t="s">
        <v>2005</v>
      </c>
      <c r="D242" s="278">
        <f>LOOKUP(A242,'[4]PT OCT 2011'!$A$2:$A$730,'[4]PT OCT 2011'!$D$2:$D$730)</f>
        <v>1.13</v>
      </c>
      <c r="E242" s="246">
        <f>5.23/25/1.21</f>
        <v>0.1728925619834711</v>
      </c>
      <c r="F242" s="218"/>
      <c r="G242" s="187"/>
      <c r="H242" s="9"/>
      <c r="L242" s="15">
        <v>1</v>
      </c>
      <c r="O242" s="274" t="e">
        <f>D242/#REF!</f>
        <v>#REF!</v>
      </c>
    </row>
    <row r="243" spans="1:15" ht="15">
      <c r="A243" s="173" t="s">
        <v>1807</v>
      </c>
      <c r="B243" s="164" t="s">
        <v>1973</v>
      </c>
      <c r="C243" s="163" t="s">
        <v>349</v>
      </c>
      <c r="D243" s="278">
        <f>LOOKUP(A243,'[4]PT OCT 2011'!$A$2:$A$730,'[4]PT OCT 2011'!$D$2:$D$730)</f>
        <v>68</v>
      </c>
      <c r="E243" s="246">
        <v>54</v>
      </c>
      <c r="F243" s="218"/>
      <c r="G243" s="187"/>
      <c r="H243" s="1" t="s">
        <v>1172</v>
      </c>
      <c r="L243" s="15">
        <v>1</v>
      </c>
      <c r="O243" s="274" t="e">
        <f>D243/#REF!</f>
        <v>#REF!</v>
      </c>
    </row>
    <row r="244" spans="1:15" ht="15">
      <c r="A244" s="173" t="s">
        <v>1678</v>
      </c>
      <c r="B244" s="164" t="s">
        <v>1972</v>
      </c>
      <c r="C244" s="163" t="s">
        <v>2005</v>
      </c>
      <c r="D244" s="278">
        <f>LOOKUP(A244,'[4]PT OCT 2011'!$A$2:$A$730,'[4]PT OCT 2011'!$D$2:$D$730)</f>
        <v>0.92</v>
      </c>
      <c r="E244" s="260">
        <v>0.28</v>
      </c>
      <c r="F244" s="221"/>
      <c r="G244" s="187"/>
      <c r="H244" s="94" t="s">
        <v>1173</v>
      </c>
      <c r="J244" s="15">
        <f>0.2416+0.021</f>
        <v>0.2626</v>
      </c>
      <c r="L244" s="15">
        <v>2</v>
      </c>
      <c r="O244" s="274" t="e">
        <f>D244/#REF!</f>
        <v>#REF!</v>
      </c>
    </row>
    <row r="245" spans="1:15" ht="15">
      <c r="A245" s="173" t="s">
        <v>1095</v>
      </c>
      <c r="B245" s="164" t="s">
        <v>1096</v>
      </c>
      <c r="C245" s="163" t="s">
        <v>397</v>
      </c>
      <c r="D245" s="278">
        <f>LOOKUP(A245,'[4]PT OCT 2011'!$A$2:$A$730,'[4]PT OCT 2011'!$D$2:$D$730)</f>
        <v>1003.078</v>
      </c>
      <c r="E245" s="246">
        <v>172.9</v>
      </c>
      <c r="F245" s="218"/>
      <c r="G245" s="198"/>
      <c r="H245" s="94" t="s">
        <v>1193</v>
      </c>
      <c r="L245" s="15">
        <v>1</v>
      </c>
      <c r="O245" s="274" t="e">
        <f>D245/#REF!</f>
        <v>#REF!</v>
      </c>
    </row>
    <row r="246" spans="1:15" ht="15">
      <c r="A246" s="173" t="s">
        <v>1689</v>
      </c>
      <c r="B246" s="164" t="s">
        <v>1974</v>
      </c>
      <c r="C246" s="163" t="s">
        <v>2005</v>
      </c>
      <c r="D246" s="278">
        <f>LOOKUP(A246,'[4]PT OCT 2011'!$A$2:$A$730,'[4]PT OCT 2011'!$D$2:$D$730)</f>
        <v>1.9733</v>
      </c>
      <c r="E246" s="246">
        <v>0.43</v>
      </c>
      <c r="F246" s="218"/>
      <c r="G246" s="187"/>
      <c r="H246" s="1" t="s">
        <v>1274</v>
      </c>
      <c r="L246" s="15">
        <v>3</v>
      </c>
      <c r="O246" s="274" t="e">
        <f>D246/#REF!</f>
        <v>#REF!</v>
      </c>
    </row>
    <row r="247" spans="1:15" ht="15">
      <c r="A247" s="173" t="s">
        <v>147</v>
      </c>
      <c r="B247" s="164" t="s">
        <v>66</v>
      </c>
      <c r="C247" s="163" t="s">
        <v>1976</v>
      </c>
      <c r="D247" s="278">
        <f>LOOKUP(A247,'[4]PT OCT 2011'!$A$2:$A$730,'[4]PT OCT 2011'!$D$2:$D$730)</f>
        <v>57.715</v>
      </c>
      <c r="E247" s="246">
        <v>13.44</v>
      </c>
      <c r="F247" s="221"/>
      <c r="G247" s="187"/>
      <c r="H247" s="1" t="s">
        <v>1174</v>
      </c>
      <c r="L247" s="15">
        <v>2</v>
      </c>
      <c r="O247" s="274" t="e">
        <f>D247/#REF!</f>
        <v>#REF!</v>
      </c>
    </row>
    <row r="248" spans="1:15" ht="15">
      <c r="A248" s="173" t="s">
        <v>67</v>
      </c>
      <c r="B248" s="164" t="s">
        <v>68</v>
      </c>
      <c r="C248" s="163" t="s">
        <v>1849</v>
      </c>
      <c r="D248" s="278">
        <f>LOOKUP(A248,'[4]PT OCT 2011'!$A$2:$A$730,'[4]PT OCT 2011'!$D$2:$D$730)</f>
        <v>12.52</v>
      </c>
      <c r="E248" s="246">
        <v>2.59</v>
      </c>
      <c r="F248" s="221"/>
      <c r="G248" s="187"/>
      <c r="H248" s="1"/>
      <c r="L248" s="15">
        <v>2</v>
      </c>
      <c r="O248" s="274" t="e">
        <f>D248/#REF!</f>
        <v>#REF!</v>
      </c>
    </row>
    <row r="249" spans="1:15" ht="15">
      <c r="A249" s="173" t="s">
        <v>69</v>
      </c>
      <c r="B249" s="164" t="s">
        <v>1488</v>
      </c>
      <c r="C249" s="163" t="s">
        <v>1976</v>
      </c>
      <c r="D249" s="278">
        <f>LOOKUP(A249,'[4]PT OCT 2011'!$A$2:$A$730,'[4]PT OCT 2011'!$D$2:$D$730)</f>
        <v>62.425</v>
      </c>
      <c r="E249" s="246">
        <v>14.88</v>
      </c>
      <c r="F249" s="221"/>
      <c r="G249" s="187"/>
      <c r="H249" s="1"/>
      <c r="L249" s="15">
        <v>2</v>
      </c>
      <c r="O249" s="274" t="e">
        <f>D249/#REF!</f>
        <v>#REF!</v>
      </c>
    </row>
    <row r="250" spans="1:15" ht="15">
      <c r="A250" s="173" t="s">
        <v>1361</v>
      </c>
      <c r="B250" s="164" t="s">
        <v>1364</v>
      </c>
      <c r="C250" s="163" t="s">
        <v>1976</v>
      </c>
      <c r="D250" s="278">
        <f>LOOKUP(A250,'[4]PT OCT 2011'!$A$2:$A$730,'[4]PT OCT 2011'!$D$2:$D$730)</f>
        <v>46.825</v>
      </c>
      <c r="E250" s="246">
        <v>11.16</v>
      </c>
      <c r="F250" s="221"/>
      <c r="G250" s="187"/>
      <c r="H250" s="1"/>
      <c r="O250" s="274" t="e">
        <f>D250/#REF!</f>
        <v>#REF!</v>
      </c>
    </row>
    <row r="251" spans="1:15" ht="15" hidden="1">
      <c r="A251" s="197" t="s">
        <v>148</v>
      </c>
      <c r="B251" s="164" t="s">
        <v>1502</v>
      </c>
      <c r="C251" s="163" t="s">
        <v>1976</v>
      </c>
      <c r="D251" s="278">
        <f>LOOKUP(A251,'[4]PT OCT 2011'!$A$2:$A$730,'[4]PT OCT 2011'!$D$2:$D$730)</f>
        <v>50.665</v>
      </c>
      <c r="E251" s="251">
        <f>12.8/1.21</f>
        <v>10.578512396694215</v>
      </c>
      <c r="F251" s="221"/>
      <c r="G251" s="187"/>
      <c r="H251" s="9"/>
      <c r="L251" s="15">
        <v>2</v>
      </c>
      <c r="O251" s="274" t="e">
        <f>D251/#REF!</f>
        <v>#REF!</v>
      </c>
    </row>
    <row r="252" spans="1:15" ht="15">
      <c r="A252" s="173" t="s">
        <v>148</v>
      </c>
      <c r="B252" s="164" t="s">
        <v>70</v>
      </c>
      <c r="C252" s="163" t="s">
        <v>1976</v>
      </c>
      <c r="D252" s="278">
        <f>LOOKUP(A252,'[4]PT OCT 2011'!$A$2:$A$730,'[4]PT OCT 2011'!$D$2:$D$730)</f>
        <v>50.665</v>
      </c>
      <c r="E252" s="259">
        <v>11.49</v>
      </c>
      <c r="F252" s="221"/>
      <c r="G252" s="187"/>
      <c r="H252" s="1"/>
      <c r="L252" s="15">
        <v>2</v>
      </c>
      <c r="O252" s="274" t="e">
        <f>D252/#REF!</f>
        <v>#REF!</v>
      </c>
    </row>
    <row r="253" spans="1:15" ht="15">
      <c r="A253" s="173" t="s">
        <v>1362</v>
      </c>
      <c r="B253" s="164" t="s">
        <v>1365</v>
      </c>
      <c r="C253" s="163" t="s">
        <v>1976</v>
      </c>
      <c r="D253" s="278">
        <f>LOOKUP(A253,'[4]PT OCT 2011'!$A$2:$A$730,'[4]PT OCT 2011'!$D$2:$D$730)</f>
        <v>31.215</v>
      </c>
      <c r="E253" s="259">
        <v>7.44</v>
      </c>
      <c r="F253" s="221"/>
      <c r="G253" s="187"/>
      <c r="H253" s="1"/>
      <c r="O253" s="274" t="e">
        <f>D253/#REF!</f>
        <v>#REF!</v>
      </c>
    </row>
    <row r="254" spans="1:15" ht="15">
      <c r="A254" s="173" t="s">
        <v>1363</v>
      </c>
      <c r="B254" s="164" t="s">
        <v>1366</v>
      </c>
      <c r="C254" s="163" t="s">
        <v>1849</v>
      </c>
      <c r="D254" s="278">
        <f>LOOKUP(A254,'[4]PT OCT 2011'!$A$2:$A$730,'[4]PT OCT 2011'!$D$2:$D$730)</f>
        <v>6.775</v>
      </c>
      <c r="E254" s="259">
        <v>0.91</v>
      </c>
      <c r="F254" s="221"/>
      <c r="G254" s="187"/>
      <c r="H254" s="1"/>
      <c r="O254" s="274" t="e">
        <f>D254/#REF!</f>
        <v>#REF!</v>
      </c>
    </row>
    <row r="255" spans="1:15" ht="15">
      <c r="A255" s="173" t="s">
        <v>1799</v>
      </c>
      <c r="B255" s="164" t="s">
        <v>2041</v>
      </c>
      <c r="C255" s="163" t="s">
        <v>1849</v>
      </c>
      <c r="D255" s="278">
        <f>LOOKUP(A255,'[4]PT OCT 2011'!$A$2:$A$730,'[4]PT OCT 2011'!$D$2:$D$730)</f>
        <v>29.485</v>
      </c>
      <c r="E255" s="246">
        <v>6.5</v>
      </c>
      <c r="F255" s="221"/>
      <c r="G255" s="187"/>
      <c r="H255" s="1"/>
      <c r="L255" s="15">
        <v>2</v>
      </c>
      <c r="O255" s="274" t="e">
        <f>D255/#REF!</f>
        <v>#REF!</v>
      </c>
    </row>
    <row r="256" spans="1:15" ht="15">
      <c r="A256" s="173" t="s">
        <v>1367</v>
      </c>
      <c r="B256" s="164" t="s">
        <v>1372</v>
      </c>
      <c r="C256" s="163" t="s">
        <v>1976</v>
      </c>
      <c r="D256" s="278">
        <f>LOOKUP(A256,'[4]PT OCT 2011'!$A$2:$A$730,'[4]PT OCT 2011'!$D$2:$D$730)</f>
        <v>73.575</v>
      </c>
      <c r="E256" s="246">
        <v>24.8065</v>
      </c>
      <c r="F256" s="221"/>
      <c r="G256" s="187"/>
      <c r="H256" s="1"/>
      <c r="O256" s="274" t="e">
        <f>D256/#REF!</f>
        <v>#REF!</v>
      </c>
    </row>
    <row r="257" spans="1:15" ht="15">
      <c r="A257" s="173" t="s">
        <v>1368</v>
      </c>
      <c r="B257" s="164" t="s">
        <v>1373</v>
      </c>
      <c r="C257" s="163" t="s">
        <v>1976</v>
      </c>
      <c r="D257" s="278">
        <f>LOOKUP(A257,'[4]PT OCT 2011'!$A$2:$A$730,'[4]PT OCT 2011'!$D$2:$D$730)</f>
        <v>80.375</v>
      </c>
      <c r="E257" s="246">
        <v>28.105</v>
      </c>
      <c r="F257" s="221"/>
      <c r="G257" s="187"/>
      <c r="H257" s="1"/>
      <c r="O257" s="274" t="e">
        <f>D257/#REF!</f>
        <v>#REF!</v>
      </c>
    </row>
    <row r="258" spans="1:15" ht="15">
      <c r="A258" s="173" t="s">
        <v>1800</v>
      </c>
      <c r="B258" s="164" t="s">
        <v>2042</v>
      </c>
      <c r="C258" s="163" t="s">
        <v>1849</v>
      </c>
      <c r="D258" s="278">
        <f>LOOKUP(A258,'[4]PT OCT 2011'!$A$2:$A$730,'[4]PT OCT 2011'!$D$2:$D$730)</f>
        <v>2.805</v>
      </c>
      <c r="E258" s="246">
        <v>0.63</v>
      </c>
      <c r="F258" s="221"/>
      <c r="G258" s="187"/>
      <c r="H258" s="1"/>
      <c r="L258" s="15">
        <v>2</v>
      </c>
      <c r="O258" s="274" t="e">
        <f>D258/#REF!</f>
        <v>#REF!</v>
      </c>
    </row>
    <row r="259" spans="1:15" ht="15">
      <c r="A259" s="173" t="s">
        <v>1369</v>
      </c>
      <c r="B259" s="164" t="s">
        <v>1374</v>
      </c>
      <c r="C259" s="163" t="s">
        <v>1849</v>
      </c>
      <c r="D259" s="278">
        <f>LOOKUP(A259,'[4]PT OCT 2011'!$A$2:$A$730,'[4]PT OCT 2011'!$D$2:$D$730)</f>
        <v>15.06</v>
      </c>
      <c r="E259" s="246">
        <v>3.9669</v>
      </c>
      <c r="F259" s="221"/>
      <c r="G259" s="187"/>
      <c r="H259" s="1"/>
      <c r="O259" s="274" t="e">
        <f>D259/#REF!</f>
        <v>#REF!</v>
      </c>
    </row>
    <row r="260" spans="1:15" ht="15">
      <c r="A260" s="173" t="s">
        <v>1370</v>
      </c>
      <c r="B260" s="164" t="s">
        <v>1375</v>
      </c>
      <c r="C260" s="163" t="s">
        <v>1976</v>
      </c>
      <c r="D260" s="278">
        <f>LOOKUP(A260,'[4]PT OCT 2011'!$A$2:$A$730,'[4]PT OCT 2011'!$D$2:$D$730)</f>
        <v>208.45</v>
      </c>
      <c r="E260" s="246">
        <v>48.6777</v>
      </c>
      <c r="F260" s="221"/>
      <c r="G260" s="187"/>
      <c r="H260" s="1"/>
      <c r="O260" s="274" t="e">
        <f>D260/#REF!</f>
        <v>#REF!</v>
      </c>
    </row>
    <row r="261" spans="1:15" ht="15">
      <c r="A261" s="173" t="s">
        <v>1371</v>
      </c>
      <c r="B261" s="164" t="s">
        <v>1376</v>
      </c>
      <c r="C261" s="163" t="s">
        <v>1849</v>
      </c>
      <c r="D261" s="278">
        <f>LOOKUP(A261,'[4]PT OCT 2011'!$A$2:$A$730,'[4]PT OCT 2011'!$D$2:$D$730)</f>
        <v>31.87</v>
      </c>
      <c r="E261" s="246">
        <v>7.7934</v>
      </c>
      <c r="F261" s="221"/>
      <c r="G261" s="187"/>
      <c r="H261" s="1"/>
      <c r="O261" s="274" t="e">
        <f>D261/#REF!</f>
        <v>#REF!</v>
      </c>
    </row>
    <row r="262" spans="1:15" ht="15">
      <c r="A262" s="173" t="s">
        <v>1805</v>
      </c>
      <c r="B262" s="164" t="s">
        <v>2043</v>
      </c>
      <c r="C262" s="163" t="s">
        <v>1849</v>
      </c>
      <c r="D262" s="278">
        <f>LOOKUP(A262,'[4]PT OCT 2011'!$A$2:$A$730,'[4]PT OCT 2011'!$D$2:$D$730)</f>
        <v>10.94</v>
      </c>
      <c r="E262" s="246">
        <v>2.2397</v>
      </c>
      <c r="F262" s="221"/>
      <c r="G262" s="187"/>
      <c r="H262" s="1"/>
      <c r="L262" s="15">
        <v>2</v>
      </c>
      <c r="O262" s="274" t="e">
        <f>D262/#REF!</f>
        <v>#REF!</v>
      </c>
    </row>
    <row r="263" spans="1:15" ht="15">
      <c r="A263" s="173" t="s">
        <v>1097</v>
      </c>
      <c r="B263" s="164" t="s">
        <v>1098</v>
      </c>
      <c r="C263" s="163" t="s">
        <v>178</v>
      </c>
      <c r="D263" s="278">
        <f>LOOKUP(A263,'[4]PT OCT 2011'!$A$2:$A$730,'[4]PT OCT 2011'!$D$2:$D$730)</f>
        <v>127.77</v>
      </c>
      <c r="E263" s="261"/>
      <c r="F263" s="218"/>
      <c r="G263" s="190">
        <v>27</v>
      </c>
      <c r="H263" s="95" t="s">
        <v>1175</v>
      </c>
      <c r="L263" s="15">
        <v>1</v>
      </c>
      <c r="O263" s="274" t="e">
        <f>D263/#REF!</f>
        <v>#REF!</v>
      </c>
    </row>
    <row r="264" spans="1:15" ht="15">
      <c r="A264" s="173" t="s">
        <v>1099</v>
      </c>
      <c r="B264" s="164" t="s">
        <v>1100</v>
      </c>
      <c r="C264" s="163" t="s">
        <v>178</v>
      </c>
      <c r="D264" s="278">
        <f>LOOKUP(A264,'[4]PT OCT 2011'!$A$2:$A$730,'[4]PT OCT 2011'!$D$2:$D$730)</f>
        <v>90.5</v>
      </c>
      <c r="E264" s="261"/>
      <c r="F264" s="218"/>
      <c r="G264" s="190">
        <v>18</v>
      </c>
      <c r="H264" s="95" t="s">
        <v>1175</v>
      </c>
      <c r="L264" s="15">
        <v>1</v>
      </c>
      <c r="O264" s="274" t="e">
        <f>D264/#REF!</f>
        <v>#REF!</v>
      </c>
    </row>
    <row r="265" spans="1:15" ht="15">
      <c r="A265" s="173" t="s">
        <v>1101</v>
      </c>
      <c r="B265" s="360" t="s">
        <v>1052</v>
      </c>
      <c r="C265" s="163" t="s">
        <v>178</v>
      </c>
      <c r="D265" s="278">
        <f>LOOKUP(A265,'[4]PT OCT 2011'!$A$2:$A$730,'[4]PT OCT 2011'!$D$2:$D$730)</f>
        <v>4.4</v>
      </c>
      <c r="E265" s="251"/>
      <c r="F265" s="218"/>
      <c r="G265" s="190">
        <v>1.1</v>
      </c>
      <c r="H265" s="95" t="s">
        <v>1175</v>
      </c>
      <c r="L265" s="15">
        <v>1</v>
      </c>
      <c r="O265" s="274" t="e">
        <f>D265/#REF!</f>
        <v>#REF!</v>
      </c>
    </row>
    <row r="266" spans="1:15" ht="15">
      <c r="A266" s="173" t="s">
        <v>1102</v>
      </c>
      <c r="B266" s="360" t="s">
        <v>1053</v>
      </c>
      <c r="C266" s="163" t="s">
        <v>178</v>
      </c>
      <c r="D266" s="278">
        <f>LOOKUP(A266,'[4]PT OCT 2011'!$A$2:$A$730,'[4]PT OCT 2011'!$D$2:$D$730)</f>
        <v>3.5</v>
      </c>
      <c r="E266" s="251"/>
      <c r="F266" s="218"/>
      <c r="G266" s="190">
        <v>0.9</v>
      </c>
      <c r="H266" s="95" t="s">
        <v>1175</v>
      </c>
      <c r="L266" s="15">
        <v>1</v>
      </c>
      <c r="O266" s="274" t="e">
        <f>D266/#REF!</f>
        <v>#REF!</v>
      </c>
    </row>
    <row r="267" spans="1:15" ht="15">
      <c r="A267" s="173" t="s">
        <v>1279</v>
      </c>
      <c r="B267" s="164" t="s">
        <v>1199</v>
      </c>
      <c r="C267" s="163" t="s">
        <v>178</v>
      </c>
      <c r="D267" s="278">
        <f>LOOKUP(A267,'[4]PT OCT 2011'!$A$2:$A$730,'[4]PT OCT 2011'!$D$2:$D$730)</f>
        <v>2347.14</v>
      </c>
      <c r="E267" s="251"/>
      <c r="F267" s="218"/>
      <c r="G267" s="190">
        <f>322+91+910</f>
        <v>1323</v>
      </c>
      <c r="H267" s="95" t="s">
        <v>1175</v>
      </c>
      <c r="I267" s="95"/>
      <c r="J267" s="109"/>
      <c r="L267" s="15">
        <v>1</v>
      </c>
      <c r="O267" s="274" t="e">
        <f>D267/#REF!</f>
        <v>#REF!</v>
      </c>
    </row>
    <row r="268" spans="1:15" ht="15">
      <c r="A268" s="173" t="s">
        <v>1377</v>
      </c>
      <c r="B268" s="164" t="s">
        <v>1378</v>
      </c>
      <c r="C268" s="163" t="s">
        <v>1976</v>
      </c>
      <c r="D268" s="278">
        <f>LOOKUP(A268,'[4]PT OCT 2011'!$A$2:$A$730,'[4]PT OCT 2011'!$D$2:$D$730)</f>
        <v>139.43</v>
      </c>
      <c r="E268" s="246">
        <v>27.76</v>
      </c>
      <c r="F268" s="218" t="s">
        <v>367</v>
      </c>
      <c r="G268" s="199"/>
      <c r="H268" s="95"/>
      <c r="I268" s="95"/>
      <c r="J268" s="109"/>
      <c r="O268" s="274" t="e">
        <f>D268/#REF!</f>
        <v>#REF!</v>
      </c>
    </row>
    <row r="269" spans="1:15" ht="15">
      <c r="A269" s="173" t="s">
        <v>1961</v>
      </c>
      <c r="B269" s="164" t="s">
        <v>1962</v>
      </c>
      <c r="C269" s="163" t="s">
        <v>1963</v>
      </c>
      <c r="D269" s="278">
        <f>LOOKUP(A269,'[4]PT OCT 2011'!$A$2:$A$730,'[4]PT OCT 2011'!$D$2:$D$730)</f>
        <v>50.45</v>
      </c>
      <c r="E269" s="250">
        <v>5.612</v>
      </c>
      <c r="F269" s="218"/>
      <c r="G269" s="187"/>
      <c r="H269" s="9" t="s">
        <v>1222</v>
      </c>
      <c r="I269" s="146">
        <f>106.9/176</f>
        <v>0.6073863636363637</v>
      </c>
      <c r="J269" s="147" t="s">
        <v>1221</v>
      </c>
      <c r="L269" s="15">
        <v>1</v>
      </c>
      <c r="O269" s="274" t="e">
        <f>D269/#REF!</f>
        <v>#REF!</v>
      </c>
    </row>
    <row r="270" spans="1:15" ht="15">
      <c r="A270" s="173" t="s">
        <v>1964</v>
      </c>
      <c r="B270" s="164" t="s">
        <v>1965</v>
      </c>
      <c r="C270" s="163" t="s">
        <v>1963</v>
      </c>
      <c r="D270" s="278">
        <f>LOOKUP(A270,'[4]PT OCT 2011'!$A$2:$A$730,'[4]PT OCT 2011'!$D$2:$D$730)</f>
        <v>42.96</v>
      </c>
      <c r="E270" s="250">
        <v>5.378</v>
      </c>
      <c r="F270" s="218"/>
      <c r="G270" s="187"/>
      <c r="H270" s="9"/>
      <c r="I270" s="148">
        <v>0.069</v>
      </c>
      <c r="J270" s="15" t="s">
        <v>1194</v>
      </c>
      <c r="L270" s="15">
        <v>1</v>
      </c>
      <c r="O270" s="274" t="e">
        <f>D270/#REF!</f>
        <v>#REF!</v>
      </c>
    </row>
    <row r="271" spans="1:15" ht="15">
      <c r="A271" s="173" t="s">
        <v>1966</v>
      </c>
      <c r="B271" s="164" t="s">
        <v>1967</v>
      </c>
      <c r="C271" s="163" t="s">
        <v>1963</v>
      </c>
      <c r="D271" s="278">
        <f>LOOKUP(A271,'[4]PT OCT 2011'!$A$2:$A$730,'[4]PT OCT 2011'!$D$2:$D$730)</f>
        <v>39.6</v>
      </c>
      <c r="E271" s="250">
        <v>5.221</v>
      </c>
      <c r="F271" s="218"/>
      <c r="G271" s="187"/>
      <c r="H271" s="9"/>
      <c r="L271" s="15">
        <v>1</v>
      </c>
      <c r="O271" s="274" t="e">
        <f>D271/#REF!</f>
        <v>#REF!</v>
      </c>
    </row>
    <row r="272" spans="1:15" ht="15">
      <c r="A272" s="173" t="s">
        <v>1968</v>
      </c>
      <c r="B272" s="164" t="s">
        <v>1969</v>
      </c>
      <c r="C272" s="163" t="s">
        <v>1963</v>
      </c>
      <c r="D272" s="278">
        <f>LOOKUP(A272,'[4]PT OCT 2011'!$A$2:$A$730,'[4]PT OCT 2011'!$D$2:$D$730)</f>
        <v>36.36</v>
      </c>
      <c r="E272" s="250">
        <v>5.182</v>
      </c>
      <c r="F272" s="218"/>
      <c r="G272" s="187"/>
      <c r="H272" s="9"/>
      <c r="L272" s="15">
        <v>1</v>
      </c>
      <c r="O272" s="274" t="e">
        <f>D272/#REF!</f>
        <v>#REF!</v>
      </c>
    </row>
    <row r="273" spans="1:15" ht="15">
      <c r="A273" s="173" t="s">
        <v>1103</v>
      </c>
      <c r="B273" s="164" t="s">
        <v>1104</v>
      </c>
      <c r="C273" s="163" t="s">
        <v>1963</v>
      </c>
      <c r="D273" s="278">
        <f>LOOKUP(A273,'[4]PT OCT 2011'!$A$2:$A$730,'[4]PT OCT 2011'!$D$2:$D$730)</f>
        <v>43.26</v>
      </c>
      <c r="E273" s="262">
        <f>(E272+E270+E269)/3</f>
        <v>5.390666666666667</v>
      </c>
      <c r="F273" s="217"/>
      <c r="G273" s="186"/>
      <c r="H273" s="9"/>
      <c r="L273" s="15">
        <v>1</v>
      </c>
      <c r="O273" s="274" t="e">
        <f>D273/#REF!</f>
        <v>#REF!</v>
      </c>
    </row>
    <row r="274" spans="1:15" ht="15">
      <c r="A274" s="173" t="s">
        <v>1675</v>
      </c>
      <c r="B274" s="164" t="s">
        <v>1970</v>
      </c>
      <c r="C274" s="163" t="s">
        <v>1963</v>
      </c>
      <c r="D274" s="278">
        <f>LOOKUP(A274,'[4]PT OCT 2011'!$A$2:$A$730,'[4]PT OCT 2011'!$D$2:$D$730)</f>
        <v>39.41</v>
      </c>
      <c r="E274" s="262">
        <f>ROUND(0.1*E269+0.2*E270+0.1*E271+0.6*E272,3)</f>
        <v>5.268</v>
      </c>
      <c r="F274" s="217"/>
      <c r="G274" s="186"/>
      <c r="H274" s="1"/>
      <c r="L274" s="15">
        <v>1</v>
      </c>
      <c r="O274" s="274" t="e">
        <f>D274/#REF!</f>
        <v>#REF!</v>
      </c>
    </row>
    <row r="275" spans="1:15" ht="15">
      <c r="A275" s="173" t="s">
        <v>1707</v>
      </c>
      <c r="B275" s="164" t="s">
        <v>2050</v>
      </c>
      <c r="C275" s="163" t="s">
        <v>1963</v>
      </c>
      <c r="D275" s="278">
        <f>LOOKUP(A275,'[4]PT OCT 2011'!$A$2:$A$730,'[4]PT OCT 2011'!$D$2:$D$730)</f>
        <v>45.8</v>
      </c>
      <c r="E275" s="262">
        <f>ROUND(0.6*E269+0.1*E270+0.1*E271+0.2*E272,3)</f>
        <v>5.464</v>
      </c>
      <c r="F275" s="217"/>
      <c r="G275" s="186"/>
      <c r="H275" s="1"/>
      <c r="L275" s="15">
        <v>1</v>
      </c>
      <c r="O275" s="274" t="e">
        <f>D275/#REF!</f>
        <v>#REF!</v>
      </c>
    </row>
    <row r="276" spans="1:15" ht="15">
      <c r="A276" s="173" t="s">
        <v>1210</v>
      </c>
      <c r="B276" s="164" t="s">
        <v>1211</v>
      </c>
      <c r="C276" s="163" t="s">
        <v>1963</v>
      </c>
      <c r="D276" s="278">
        <f>LOOKUP(A276,'[4]PT OCT 2011'!$A$2:$A$730,'[4]PT OCT 2011'!$D$2:$D$730)</f>
        <v>50.45</v>
      </c>
      <c r="E276" s="263">
        <f>E269</f>
        <v>5.612</v>
      </c>
      <c r="F276" s="217"/>
      <c r="G276" s="186"/>
      <c r="H276" s="1"/>
      <c r="O276" s="274" t="e">
        <f>D276/#REF!</f>
        <v>#REF!</v>
      </c>
    </row>
    <row r="277" spans="1:15" ht="15">
      <c r="A277" s="200" t="s">
        <v>1331</v>
      </c>
      <c r="B277" s="360" t="s">
        <v>439</v>
      </c>
      <c r="C277" s="163" t="s">
        <v>178</v>
      </c>
      <c r="D277" s="278">
        <f>LOOKUP(A277,'[4]PT OCT 2011'!$A$2:$A$730,'[4]PT OCT 2011'!$D$2:$D$730)</f>
        <v>10079.72</v>
      </c>
      <c r="E277" s="264">
        <v>2468.23</v>
      </c>
      <c r="F277" s="218"/>
      <c r="G277" s="187"/>
      <c r="H277" s="1" t="s">
        <v>1176</v>
      </c>
      <c r="L277" s="15">
        <v>1</v>
      </c>
      <c r="O277" s="274" t="e">
        <f>D277/#REF!</f>
        <v>#REF!</v>
      </c>
    </row>
    <row r="278" spans="1:15" ht="15">
      <c r="A278" s="200" t="s">
        <v>211</v>
      </c>
      <c r="B278" s="164" t="s">
        <v>212</v>
      </c>
      <c r="C278" s="163" t="s">
        <v>178</v>
      </c>
      <c r="D278" s="278">
        <f>LOOKUP(A278,'[4]PT OCT 2011'!$A$2:$A$730,'[4]PT OCT 2011'!$D$2:$D$730)</f>
        <v>10403.33</v>
      </c>
      <c r="E278" s="264">
        <v>2850.02</v>
      </c>
      <c r="F278" s="218"/>
      <c r="G278" s="187"/>
      <c r="H278" s="1"/>
      <c r="O278" s="274" t="e">
        <f>D278/#REF!</f>
        <v>#REF!</v>
      </c>
    </row>
    <row r="279" spans="1:15" ht="15">
      <c r="A279" s="200" t="s">
        <v>213</v>
      </c>
      <c r="B279" s="167" t="s">
        <v>214</v>
      </c>
      <c r="C279" s="163" t="s">
        <v>178</v>
      </c>
      <c r="D279" s="278">
        <f>LOOKUP(A279,'[4]PT OCT 2011'!$A$2:$A$730,'[4]PT OCT 2011'!$D$2:$D$730)</f>
        <v>4010.94</v>
      </c>
      <c r="E279" s="265">
        <v>2139.79</v>
      </c>
      <c r="F279" s="218"/>
      <c r="G279" s="187"/>
      <c r="H279" s="1"/>
      <c r="L279" s="15">
        <v>1</v>
      </c>
      <c r="O279" s="274" t="e">
        <f>D279/#REF!</f>
        <v>#REF!</v>
      </c>
    </row>
    <row r="280" spans="1:15" ht="15">
      <c r="A280" s="200" t="s">
        <v>215</v>
      </c>
      <c r="B280" s="164" t="s">
        <v>216</v>
      </c>
      <c r="C280" s="163" t="s">
        <v>178</v>
      </c>
      <c r="D280" s="278">
        <f>LOOKUP(A280,'[4]PT OCT 2011'!$A$2:$A$730,'[4]PT OCT 2011'!$D$2:$D$730)</f>
        <v>1418.31</v>
      </c>
      <c r="E280" s="264">
        <f>807.75/1.21</f>
        <v>667.5619834710744</v>
      </c>
      <c r="F280" s="218"/>
      <c r="G280" s="187"/>
      <c r="H280" s="1"/>
      <c r="L280" s="15">
        <v>1</v>
      </c>
      <c r="O280" s="274" t="e">
        <f>D280/#REF!</f>
        <v>#REF!</v>
      </c>
    </row>
    <row r="281" spans="1:15" ht="15">
      <c r="A281" s="200" t="s">
        <v>217</v>
      </c>
      <c r="B281" s="164" t="s">
        <v>218</v>
      </c>
      <c r="C281" s="163" t="s">
        <v>1849</v>
      </c>
      <c r="D281" s="278">
        <f>LOOKUP(A281,'[4]PT OCT 2011'!$A$2:$A$730,'[4]PT OCT 2011'!$D$2:$D$730)</f>
        <v>110.5</v>
      </c>
      <c r="E281" s="264">
        <v>26.86</v>
      </c>
      <c r="F281" s="218"/>
      <c r="G281" s="187"/>
      <c r="H281" s="1"/>
      <c r="L281" s="15">
        <v>1</v>
      </c>
      <c r="O281" s="274" t="e">
        <f>D281/#REF!</f>
        <v>#REF!</v>
      </c>
    </row>
    <row r="282" spans="1:15" ht="15">
      <c r="A282" s="200" t="s">
        <v>219</v>
      </c>
      <c r="B282" s="164" t="s">
        <v>325</v>
      </c>
      <c r="C282" s="163" t="s">
        <v>1849</v>
      </c>
      <c r="D282" s="278">
        <f>LOOKUP(A282,'[4]PT OCT 2011'!$A$2:$A$730,'[4]PT OCT 2011'!$D$2:$D$730)</f>
        <v>253.71</v>
      </c>
      <c r="E282" s="264">
        <v>42.23</v>
      </c>
      <c r="F282" s="218"/>
      <c r="G282" s="187"/>
      <c r="H282" s="1"/>
      <c r="L282" s="15">
        <v>1</v>
      </c>
      <c r="O282" s="274" t="e">
        <f>D282/#REF!</f>
        <v>#REF!</v>
      </c>
    </row>
    <row r="283" spans="1:15" ht="15">
      <c r="A283" s="173" t="s">
        <v>1812</v>
      </c>
      <c r="B283" s="164" t="s">
        <v>71</v>
      </c>
      <c r="C283" s="163" t="s">
        <v>348</v>
      </c>
      <c r="D283" s="278">
        <f>LOOKUP(A283,'[4]PT OCT 2011'!$A$2:$A$730,'[4]PT OCT 2011'!$D$2:$D$730)</f>
        <v>14.6567</v>
      </c>
      <c r="E283" s="246">
        <v>3.64</v>
      </c>
      <c r="F283" s="218"/>
      <c r="G283" s="187"/>
      <c r="H283" s="1" t="s">
        <v>1177</v>
      </c>
      <c r="L283" s="15">
        <v>3</v>
      </c>
      <c r="O283" s="274" t="e">
        <f>D283/#REF!</f>
        <v>#REF!</v>
      </c>
    </row>
    <row r="284" spans="1:15" ht="15">
      <c r="A284" s="173" t="s">
        <v>185</v>
      </c>
      <c r="B284" s="164" t="s">
        <v>72</v>
      </c>
      <c r="C284" s="163" t="s">
        <v>178</v>
      </c>
      <c r="D284" s="278">
        <f>LOOKUP(A284,'[4]PT OCT 2011'!$A$2:$A$730,'[4]PT OCT 2011'!$D$2:$D$730)</f>
        <v>140.4467</v>
      </c>
      <c r="E284" s="246">
        <v>35.25</v>
      </c>
      <c r="F284" s="218"/>
      <c r="G284" s="187"/>
      <c r="H284" s="1"/>
      <c r="O284" s="274" t="e">
        <f>D284/#REF!</f>
        <v>#REF!</v>
      </c>
    </row>
    <row r="285" spans="1:15" ht="15">
      <c r="A285" s="173" t="s">
        <v>1719</v>
      </c>
      <c r="B285" s="164" t="s">
        <v>2003</v>
      </c>
      <c r="C285" s="163" t="s">
        <v>178</v>
      </c>
      <c r="D285" s="278">
        <f>LOOKUP(A285,'[4]PT OCT 2011'!$A$2:$A$730,'[4]PT OCT 2011'!$D$2:$D$730)</f>
        <v>181.3667</v>
      </c>
      <c r="E285" s="246">
        <v>39.92</v>
      </c>
      <c r="F285" s="218"/>
      <c r="G285" s="187"/>
      <c r="H285" s="1"/>
      <c r="O285" s="274" t="e">
        <f>D285/#REF!</f>
        <v>#REF!</v>
      </c>
    </row>
    <row r="286" spans="1:15" ht="15">
      <c r="A286" s="173" t="s">
        <v>1820</v>
      </c>
      <c r="B286" s="164" t="s">
        <v>2027</v>
      </c>
      <c r="C286" s="163" t="s">
        <v>178</v>
      </c>
      <c r="D286" s="278">
        <f>LOOKUP(A286,'[4]PT OCT 2011'!$A$2:$A$730,'[4]PT OCT 2011'!$D$2:$D$730)</f>
        <v>11.86</v>
      </c>
      <c r="E286" s="246">
        <v>2.31</v>
      </c>
      <c r="F286" s="218"/>
      <c r="G286" s="187"/>
      <c r="H286" s="1"/>
      <c r="L286" s="15">
        <v>3</v>
      </c>
      <c r="O286" s="274" t="e">
        <f>D286/#REF!</f>
        <v>#REF!</v>
      </c>
    </row>
    <row r="287" spans="1:15" ht="15">
      <c r="A287" s="173" t="s">
        <v>1718</v>
      </c>
      <c r="B287" s="164" t="s">
        <v>2004</v>
      </c>
      <c r="C287" s="163" t="s">
        <v>178</v>
      </c>
      <c r="D287" s="278">
        <f>LOOKUP(A287,'[4]PT OCT 2011'!$A$2:$A$730,'[4]PT OCT 2011'!$D$2:$D$730)</f>
        <v>423.39</v>
      </c>
      <c r="E287" s="246">
        <v>135.59</v>
      </c>
      <c r="F287" s="218"/>
      <c r="G287" s="187"/>
      <c r="H287" s="1"/>
      <c r="L287" s="15">
        <v>3</v>
      </c>
      <c r="O287" s="274" t="e">
        <f>D287/#REF!</f>
        <v>#REF!</v>
      </c>
    </row>
    <row r="288" spans="1:15" ht="15">
      <c r="A288" s="173" t="s">
        <v>1721</v>
      </c>
      <c r="B288" s="164" t="s">
        <v>1982</v>
      </c>
      <c r="C288" s="163" t="s">
        <v>348</v>
      </c>
      <c r="D288" s="278">
        <f>LOOKUP(A288,'[4]PT OCT 2011'!$A$2:$A$730,'[4]PT OCT 2011'!$D$2:$D$730)</f>
        <v>10.86</v>
      </c>
      <c r="E288" s="246">
        <v>3.6825</v>
      </c>
      <c r="F288" s="221"/>
      <c r="G288" s="187"/>
      <c r="H288" s="1"/>
      <c r="J288" s="149" t="s">
        <v>1224</v>
      </c>
      <c r="L288" s="15">
        <v>2</v>
      </c>
      <c r="O288" s="274" t="e">
        <f>D288/#REF!</f>
        <v>#REF!</v>
      </c>
    </row>
    <row r="289" spans="1:15" ht="15">
      <c r="A289" s="173" t="s">
        <v>1811</v>
      </c>
      <c r="B289" s="164" t="s">
        <v>2028</v>
      </c>
      <c r="C289" s="163" t="s">
        <v>348</v>
      </c>
      <c r="D289" s="278">
        <f>LOOKUP(A289,'[4]PT OCT 2011'!$A$2:$A$730,'[4]PT OCT 2011'!$D$2:$D$730)</f>
        <v>17.12</v>
      </c>
      <c r="E289" s="246">
        <v>3.73</v>
      </c>
      <c r="F289" s="218"/>
      <c r="G289" s="187"/>
      <c r="H289" s="1"/>
      <c r="I289" s="110" t="s">
        <v>1223</v>
      </c>
      <c r="J289" s="150" t="s">
        <v>1200</v>
      </c>
      <c r="L289" s="15">
        <v>3</v>
      </c>
      <c r="O289" s="274" t="e">
        <f>D289/#REF!</f>
        <v>#REF!</v>
      </c>
    </row>
    <row r="290" spans="1:15" ht="15">
      <c r="A290" s="173" t="s">
        <v>1700</v>
      </c>
      <c r="B290" s="164" t="s">
        <v>1233</v>
      </c>
      <c r="C290" s="163" t="s">
        <v>2005</v>
      </c>
      <c r="D290" s="278">
        <f>LOOKUP(A290,'[4]PT OCT 2011'!$A$2:$A$730,'[4]PT OCT 2011'!$D$2:$D$730)</f>
        <v>5.12</v>
      </c>
      <c r="E290" s="246">
        <v>1.49</v>
      </c>
      <c r="F290" s="221"/>
      <c r="G290" s="187"/>
      <c r="H290" s="157" t="s">
        <v>1197</v>
      </c>
      <c r="I290" s="151">
        <v>25.894</v>
      </c>
      <c r="J290" s="152">
        <f>I290/30</f>
        <v>0.8631333333333333</v>
      </c>
      <c r="K290" s="141">
        <f>J290+J291</f>
        <v>1.7964666666666667</v>
      </c>
      <c r="L290" s="15">
        <v>1</v>
      </c>
      <c r="O290" s="274" t="e">
        <f>D290/#REF!</f>
        <v>#REF!</v>
      </c>
    </row>
    <row r="291" spans="1:15" ht="15">
      <c r="A291" s="173" t="s">
        <v>1813</v>
      </c>
      <c r="B291" s="164" t="s">
        <v>2029</v>
      </c>
      <c r="C291" s="163" t="s">
        <v>348</v>
      </c>
      <c r="D291" s="278">
        <f>LOOKUP(A291,'[4]PT OCT 2011'!$A$2:$A$730,'[4]PT OCT 2011'!$D$2:$D$730)</f>
        <v>32.8067</v>
      </c>
      <c r="E291" s="246">
        <v>7.18</v>
      </c>
      <c r="F291" s="218"/>
      <c r="G291" s="187"/>
      <c r="H291" s="1" t="s">
        <v>1198</v>
      </c>
      <c r="I291" s="153">
        <v>14</v>
      </c>
      <c r="J291" s="152">
        <f>I291/15</f>
        <v>0.9333333333333333</v>
      </c>
      <c r="K291" s="154">
        <f>K290/1.21</f>
        <v>1.4846831955922866</v>
      </c>
      <c r="L291" s="15">
        <v>3</v>
      </c>
      <c r="O291" s="274" t="e">
        <f>D291/#REF!</f>
        <v>#REF!</v>
      </c>
    </row>
    <row r="292" spans="1:15" ht="15">
      <c r="A292" s="173" t="s">
        <v>73</v>
      </c>
      <c r="B292" s="164" t="s">
        <v>1911</v>
      </c>
      <c r="C292" s="163" t="s">
        <v>348</v>
      </c>
      <c r="D292" s="278">
        <f>LOOKUP(A292,'[4]PT OCT 2011'!$A$2:$A$730,'[4]PT OCT 2011'!$D$2:$D$730)</f>
        <v>16.155</v>
      </c>
      <c r="E292" s="246">
        <v>4.32</v>
      </c>
      <c r="F292" s="218"/>
      <c r="G292" s="187"/>
      <c r="H292" s="1"/>
      <c r="L292" s="15">
        <v>3</v>
      </c>
      <c r="O292" s="274" t="e">
        <f>D292/#REF!</f>
        <v>#REF!</v>
      </c>
    </row>
    <row r="293" spans="1:15" ht="15">
      <c r="A293" s="173" t="s">
        <v>74</v>
      </c>
      <c r="B293" s="164" t="s">
        <v>75</v>
      </c>
      <c r="C293" s="163" t="s">
        <v>348</v>
      </c>
      <c r="D293" s="278">
        <f>LOOKUP(A293,'[4]PT OCT 2011'!$A$2:$A$730,'[4]PT OCT 2011'!$D$2:$D$730)</f>
        <v>34.06</v>
      </c>
      <c r="E293" s="246">
        <v>9.12</v>
      </c>
      <c r="F293" s="218"/>
      <c r="G293" s="187"/>
      <c r="H293" s="1"/>
      <c r="L293" s="15">
        <v>3</v>
      </c>
      <c r="O293" s="274" t="e">
        <f>D293/#REF!</f>
        <v>#REF!</v>
      </c>
    </row>
    <row r="294" spans="1:15" ht="15">
      <c r="A294" s="173" t="s">
        <v>76</v>
      </c>
      <c r="B294" s="164" t="s">
        <v>77</v>
      </c>
      <c r="C294" s="163" t="s">
        <v>348</v>
      </c>
      <c r="D294" s="278">
        <f>LOOKUP(A294,'[4]PT OCT 2011'!$A$2:$A$730,'[4]PT OCT 2011'!$D$2:$D$730)</f>
        <v>17.4467</v>
      </c>
      <c r="E294" s="246">
        <v>3.33</v>
      </c>
      <c r="F294" s="218"/>
      <c r="G294" s="187"/>
      <c r="H294" s="1"/>
      <c r="L294" s="15">
        <v>3</v>
      </c>
      <c r="O294" s="274" t="e">
        <f>D294/#REF!</f>
        <v>#REF!</v>
      </c>
    </row>
    <row r="295" spans="1:15" ht="15">
      <c r="A295" s="173" t="s">
        <v>1463</v>
      </c>
      <c r="B295" s="167" t="s">
        <v>1464</v>
      </c>
      <c r="C295" s="168" t="s">
        <v>178</v>
      </c>
      <c r="D295" s="278">
        <f>LOOKUP(A295,'[4]PT OCT 2011'!$A$2:$A$730,'[4]PT OCT 2011'!$D$2:$D$730)</f>
        <v>1.5633</v>
      </c>
      <c r="E295" s="246">
        <v>0.58</v>
      </c>
      <c r="F295" s="218"/>
      <c r="G295" s="187"/>
      <c r="H295" s="1"/>
      <c r="O295" s="274" t="e">
        <f>D295/#REF!</f>
        <v>#REF!</v>
      </c>
    </row>
    <row r="296" spans="1:15" ht="15">
      <c r="A296" s="173" t="s">
        <v>79</v>
      </c>
      <c r="B296" s="164" t="s">
        <v>179</v>
      </c>
      <c r="C296" s="163" t="s">
        <v>178</v>
      </c>
      <c r="D296" s="278">
        <f>LOOKUP(A296,'[4]PT OCT 2011'!$A$2:$A$730,'[4]PT OCT 2011'!$D$2:$D$730)</f>
        <v>43.8</v>
      </c>
      <c r="E296" s="246">
        <v>13.38</v>
      </c>
      <c r="F296" s="218"/>
      <c r="G296" s="187"/>
      <c r="H296" s="1" t="s">
        <v>1262</v>
      </c>
      <c r="L296" s="15">
        <v>1</v>
      </c>
      <c r="O296" s="274" t="e">
        <f>D296/#REF!</f>
        <v>#REF!</v>
      </c>
    </row>
    <row r="297" spans="1:15" ht="15">
      <c r="A297" s="173" t="s">
        <v>149</v>
      </c>
      <c r="B297" s="164" t="s">
        <v>78</v>
      </c>
      <c r="C297" s="163" t="s">
        <v>178</v>
      </c>
      <c r="D297" s="278">
        <f>LOOKUP(A297,'[4]PT OCT 2011'!$A$2:$A$730,'[4]PT OCT 2011'!$D$2:$D$730)</f>
        <v>48.76</v>
      </c>
      <c r="E297" s="246">
        <v>13.88</v>
      </c>
      <c r="F297" s="218"/>
      <c r="G297" s="187"/>
      <c r="H297" s="1" t="s">
        <v>1262</v>
      </c>
      <c r="L297" s="15">
        <v>1</v>
      </c>
      <c r="O297" s="274" t="e">
        <f>D297/#REF!</f>
        <v>#REF!</v>
      </c>
    </row>
    <row r="298" spans="1:15" ht="15">
      <c r="A298" s="173" t="s">
        <v>1829</v>
      </c>
      <c r="B298" s="164" t="s">
        <v>2048</v>
      </c>
      <c r="C298" s="163" t="s">
        <v>178</v>
      </c>
      <c r="D298" s="278">
        <f>LOOKUP(A298,'[4]PT OCT 2011'!$A$2:$A$730,'[4]PT OCT 2011'!$D$2:$D$730)</f>
        <v>109.505</v>
      </c>
      <c r="E298" s="256">
        <v>21.74</v>
      </c>
      <c r="F298" s="218"/>
      <c r="G298" s="187"/>
      <c r="H298" s="1" t="s">
        <v>1178</v>
      </c>
      <c r="L298" s="15">
        <v>2</v>
      </c>
      <c r="O298" s="274" t="e">
        <f>D298/#REF!</f>
        <v>#REF!</v>
      </c>
    </row>
    <row r="299" spans="1:15" ht="15">
      <c r="A299" s="173" t="s">
        <v>1828</v>
      </c>
      <c r="B299" s="164" t="s">
        <v>2049</v>
      </c>
      <c r="C299" s="163" t="s">
        <v>178</v>
      </c>
      <c r="D299" s="278">
        <f>LOOKUP(A299,'[4]PT OCT 2011'!$A$2:$A$730,'[4]PT OCT 2011'!$D$2:$D$730)</f>
        <v>179.34</v>
      </c>
      <c r="E299" s="256">
        <v>34.36</v>
      </c>
      <c r="F299" s="218"/>
      <c r="G299" s="187"/>
      <c r="H299" s="1"/>
      <c r="L299" s="15">
        <v>2</v>
      </c>
      <c r="O299" s="274" t="e">
        <f>D299/#REF!</f>
        <v>#REF!</v>
      </c>
    </row>
    <row r="300" spans="1:15" ht="15">
      <c r="A300" s="173" t="s">
        <v>153</v>
      </c>
      <c r="B300" s="164" t="s">
        <v>107</v>
      </c>
      <c r="C300" s="163" t="s">
        <v>1849</v>
      </c>
      <c r="D300" s="278">
        <f>LOOKUP(A300,'[4]PT OCT 2011'!$A$2:$A$730,'[4]PT OCT 2011'!$D$2:$D$730)</f>
        <v>3.4433</v>
      </c>
      <c r="E300" s="246">
        <v>0.83</v>
      </c>
      <c r="F300" s="218"/>
      <c r="G300" s="187"/>
      <c r="H300" s="1" t="s">
        <v>1251</v>
      </c>
      <c r="L300" s="15">
        <v>2</v>
      </c>
      <c r="O300" s="274" t="e">
        <f>D300/#REF!</f>
        <v>#REF!</v>
      </c>
    </row>
    <row r="301" spans="1:15" ht="15">
      <c r="A301" s="173" t="s">
        <v>155</v>
      </c>
      <c r="B301" s="164" t="s">
        <v>108</v>
      </c>
      <c r="C301" s="163" t="s">
        <v>1849</v>
      </c>
      <c r="D301" s="278">
        <f>LOOKUP(A301,'[4]PT OCT 2011'!$A$2:$A$730,'[4]PT OCT 2011'!$D$2:$D$730)</f>
        <v>14.04</v>
      </c>
      <c r="E301" s="246">
        <v>3.84</v>
      </c>
      <c r="F301" s="218"/>
      <c r="G301" s="187"/>
      <c r="H301" s="1" t="s">
        <v>1251</v>
      </c>
      <c r="L301" s="15">
        <v>1</v>
      </c>
      <c r="O301" s="274" t="e">
        <f>D301/#REF!</f>
        <v>#REF!</v>
      </c>
    </row>
    <row r="302" spans="1:15" ht="15">
      <c r="A302" s="173" t="s">
        <v>156</v>
      </c>
      <c r="B302" s="164" t="s">
        <v>109</v>
      </c>
      <c r="C302" s="163" t="s">
        <v>1849</v>
      </c>
      <c r="D302" s="278">
        <f>LOOKUP(A302,'[4]PT OCT 2011'!$A$2:$A$730,'[4]PT OCT 2011'!$D$2:$D$730)</f>
        <v>23.54</v>
      </c>
      <c r="E302" s="246">
        <v>5.46</v>
      </c>
      <c r="F302" s="218"/>
      <c r="G302" s="187"/>
      <c r="H302" s="1" t="s">
        <v>1251</v>
      </c>
      <c r="L302" s="15">
        <v>1</v>
      </c>
      <c r="O302" s="274" t="e">
        <f>D302/#REF!</f>
        <v>#REF!</v>
      </c>
    </row>
    <row r="303" spans="1:15" ht="15">
      <c r="A303" s="173" t="s">
        <v>157</v>
      </c>
      <c r="B303" s="164" t="s">
        <v>110</v>
      </c>
      <c r="C303" s="163" t="s">
        <v>178</v>
      </c>
      <c r="D303" s="278">
        <f>LOOKUP(A303,'[4]PT OCT 2011'!$A$2:$A$730,'[4]PT OCT 2011'!$D$2:$D$730)</f>
        <v>33.27</v>
      </c>
      <c r="E303" s="246">
        <v>25.71</v>
      </c>
      <c r="F303" s="218"/>
      <c r="G303" s="187"/>
      <c r="H303" s="1" t="s">
        <v>1251</v>
      </c>
      <c r="L303" s="15">
        <v>1</v>
      </c>
      <c r="O303" s="274" t="e">
        <f>D303/#REF!</f>
        <v>#REF!</v>
      </c>
    </row>
    <row r="304" spans="1:15" ht="15">
      <c r="A304" s="173" t="s">
        <v>159</v>
      </c>
      <c r="B304" s="164" t="s">
        <v>111</v>
      </c>
      <c r="C304" s="163" t="s">
        <v>178</v>
      </c>
      <c r="D304" s="278">
        <f>LOOKUP(A304,'[4]PT OCT 2011'!$A$2:$A$730,'[4]PT OCT 2011'!$D$2:$D$730)</f>
        <v>60.14</v>
      </c>
      <c r="E304" s="246">
        <v>39.01</v>
      </c>
      <c r="F304" s="218"/>
      <c r="G304" s="187"/>
      <c r="H304" s="1" t="s">
        <v>1251</v>
      </c>
      <c r="L304" s="15">
        <v>1</v>
      </c>
      <c r="O304" s="274" t="e">
        <f>D304/#REF!</f>
        <v>#REF!</v>
      </c>
    </row>
    <row r="305" spans="1:15" ht="15">
      <c r="A305" s="173" t="s">
        <v>160</v>
      </c>
      <c r="B305" s="164" t="s">
        <v>112</v>
      </c>
      <c r="C305" s="163" t="s">
        <v>178</v>
      </c>
      <c r="D305" s="278">
        <f>LOOKUP(A305,'[4]PT OCT 2011'!$A$2:$A$730,'[4]PT OCT 2011'!$D$2:$D$730)</f>
        <v>103.6</v>
      </c>
      <c r="E305" s="246">
        <v>66.88</v>
      </c>
      <c r="F305" s="218"/>
      <c r="G305" s="187"/>
      <c r="H305" s="1" t="s">
        <v>1251</v>
      </c>
      <c r="O305" s="274" t="e">
        <f>D305/#REF!</f>
        <v>#REF!</v>
      </c>
    </row>
    <row r="306" spans="1:15" ht="15">
      <c r="A306" s="173" t="s">
        <v>163</v>
      </c>
      <c r="B306" s="164" t="s">
        <v>113</v>
      </c>
      <c r="C306" s="163" t="s">
        <v>178</v>
      </c>
      <c r="D306" s="278">
        <f>LOOKUP(A306,'[4]PT OCT 2011'!$A$2:$A$730,'[4]PT OCT 2011'!$D$2:$D$730)</f>
        <v>686.29</v>
      </c>
      <c r="E306" s="246">
        <v>514.47</v>
      </c>
      <c r="F306" s="218"/>
      <c r="G306" s="187"/>
      <c r="H306" s="1" t="s">
        <v>1251</v>
      </c>
      <c r="L306" s="15">
        <v>1</v>
      </c>
      <c r="O306" s="274" t="e">
        <f>D306/#REF!</f>
        <v>#REF!</v>
      </c>
    </row>
    <row r="307" spans="1:15" ht="15">
      <c r="A307" s="173" t="s">
        <v>198</v>
      </c>
      <c r="B307" s="164" t="s">
        <v>114</v>
      </c>
      <c r="C307" s="163" t="s">
        <v>178</v>
      </c>
      <c r="D307" s="278">
        <f>LOOKUP(A307,'[4]PT OCT 2011'!$A$2:$A$730,'[4]PT OCT 2011'!$D$2:$D$730)</f>
        <v>92.64</v>
      </c>
      <c r="E307" s="246">
        <v>17.5772</v>
      </c>
      <c r="F307" s="218"/>
      <c r="G307" s="187"/>
      <c r="H307" s="1" t="s">
        <v>1251</v>
      </c>
      <c r="L307" s="15">
        <v>2</v>
      </c>
      <c r="O307" s="274" t="e">
        <f>D307/#REF!</f>
        <v>#REF!</v>
      </c>
    </row>
    <row r="308" spans="1:15" ht="15">
      <c r="A308" s="173" t="s">
        <v>151</v>
      </c>
      <c r="B308" s="164" t="s">
        <v>106</v>
      </c>
      <c r="C308" s="163" t="s">
        <v>178</v>
      </c>
      <c r="D308" s="278">
        <f>LOOKUP(A308,'[4]PT OCT 2011'!$A$2:$A$730,'[4]PT OCT 2011'!$D$2:$D$730)</f>
        <v>842.05</v>
      </c>
      <c r="E308" s="246">
        <v>361.75</v>
      </c>
      <c r="F308" s="218"/>
      <c r="G308" s="187"/>
      <c r="H308" s="1" t="s">
        <v>1251</v>
      </c>
      <c r="L308" s="15">
        <v>1</v>
      </c>
      <c r="O308" s="274" t="e">
        <f>D308/#REF!</f>
        <v>#REF!</v>
      </c>
    </row>
    <row r="309" spans="1:15" ht="15">
      <c r="A309" s="173" t="s">
        <v>1385</v>
      </c>
      <c r="B309" s="164" t="s">
        <v>88</v>
      </c>
      <c r="C309" s="163" t="s">
        <v>1849</v>
      </c>
      <c r="D309" s="278">
        <f>LOOKUP(A309,'[4]PT OCT 2011'!$A$2:$A$730,'[4]PT OCT 2011'!$D$2:$D$730)</f>
        <v>60.28</v>
      </c>
      <c r="E309" s="246">
        <v>14.49</v>
      </c>
      <c r="F309" s="218"/>
      <c r="G309" s="187"/>
      <c r="H309" s="1" t="s">
        <v>1251</v>
      </c>
      <c r="L309" s="15">
        <v>1</v>
      </c>
      <c r="O309" s="274" t="e">
        <f>D309/#REF!</f>
        <v>#REF!</v>
      </c>
    </row>
    <row r="310" spans="1:15" ht="15">
      <c r="A310" s="173" t="s">
        <v>298</v>
      </c>
      <c r="B310" s="164" t="s">
        <v>281</v>
      </c>
      <c r="C310" s="163" t="s">
        <v>178</v>
      </c>
      <c r="D310" s="278">
        <f>LOOKUP(A310,'[4]PT OCT 2011'!$A$2:$A$730,'[4]PT OCT 2011'!$D$2:$D$730)</f>
        <v>3015</v>
      </c>
      <c r="E310" s="246">
        <v>179</v>
      </c>
      <c r="F310" s="218"/>
      <c r="G310" s="187"/>
      <c r="H310" s="1" t="s">
        <v>1179</v>
      </c>
      <c r="L310" s="15">
        <v>1</v>
      </c>
      <c r="O310" s="274" t="e">
        <f>D310/#REF!</f>
        <v>#REF!</v>
      </c>
    </row>
    <row r="311" spans="1:15" ht="15">
      <c r="A311" s="173" t="s">
        <v>299</v>
      </c>
      <c r="B311" s="164" t="s">
        <v>321</v>
      </c>
      <c r="C311" s="163" t="s">
        <v>178</v>
      </c>
      <c r="D311" s="278">
        <f>LOOKUP(A311,'[4]PT OCT 2011'!$A$2:$A$730,'[4]PT OCT 2011'!$D$2:$D$730)</f>
        <v>2920</v>
      </c>
      <c r="E311" s="246">
        <v>158</v>
      </c>
      <c r="F311" s="218"/>
      <c r="G311" s="187"/>
      <c r="H311" s="1"/>
      <c r="L311" s="15">
        <v>1</v>
      </c>
      <c r="O311" s="274" t="e">
        <f>D311/#REF!</f>
        <v>#REF!</v>
      </c>
    </row>
    <row r="312" spans="1:15" ht="15">
      <c r="A312" s="173" t="s">
        <v>300</v>
      </c>
      <c r="B312" s="164" t="s">
        <v>287</v>
      </c>
      <c r="C312" s="163" t="s">
        <v>178</v>
      </c>
      <c r="D312" s="278">
        <f>LOOKUP(A312,'[4]PT OCT 2011'!$A$2:$A$730,'[4]PT OCT 2011'!$D$2:$D$730)</f>
        <v>15222</v>
      </c>
      <c r="E312" s="246">
        <v>1120</v>
      </c>
      <c r="F312" s="218"/>
      <c r="G312" s="187"/>
      <c r="H312" s="1"/>
      <c r="L312" s="15">
        <v>1</v>
      </c>
      <c r="O312" s="274" t="e">
        <f>D312/#REF!</f>
        <v>#REF!</v>
      </c>
    </row>
    <row r="313" spans="1:15" ht="15">
      <c r="A313" s="173" t="s">
        <v>301</v>
      </c>
      <c r="B313" s="164" t="s">
        <v>290</v>
      </c>
      <c r="C313" s="163" t="s">
        <v>178</v>
      </c>
      <c r="D313" s="278">
        <f>LOOKUP(A313,'[4]PT OCT 2011'!$A$2:$A$730,'[4]PT OCT 2011'!$D$2:$D$730)</f>
        <v>13238</v>
      </c>
      <c r="E313" s="246">
        <v>858</v>
      </c>
      <c r="F313" s="218"/>
      <c r="G313" s="187"/>
      <c r="H313" s="1"/>
      <c r="L313" s="15">
        <v>1</v>
      </c>
      <c r="O313" s="274" t="e">
        <f>D313/#REF!</f>
        <v>#REF!</v>
      </c>
    </row>
    <row r="314" spans="1:15" ht="15">
      <c r="A314" s="173" t="s">
        <v>1409</v>
      </c>
      <c r="B314" s="164" t="s">
        <v>308</v>
      </c>
      <c r="C314" s="163" t="s">
        <v>178</v>
      </c>
      <c r="D314" s="278">
        <f>LOOKUP(A314,'[4]PT OCT 2011'!$A$2:$A$730,'[4]PT OCT 2011'!$D$2:$D$730)</f>
        <v>305</v>
      </c>
      <c r="E314" s="246">
        <v>198</v>
      </c>
      <c r="F314" s="218"/>
      <c r="G314" s="187"/>
      <c r="H314" s="1"/>
      <c r="L314" s="15">
        <v>1</v>
      </c>
      <c r="O314" s="274" t="e">
        <f>D314/#REF!</f>
        <v>#REF!</v>
      </c>
    </row>
    <row r="315" spans="1:15" ht="15">
      <c r="A315" s="173" t="s">
        <v>1386</v>
      </c>
      <c r="B315" s="164" t="s">
        <v>282</v>
      </c>
      <c r="C315" s="163" t="s">
        <v>178</v>
      </c>
      <c r="D315" s="278">
        <f>LOOKUP(A315,'[4]PT OCT 2011'!$A$2:$A$730,'[4]PT OCT 2011'!$D$2:$D$730)</f>
        <v>354.72</v>
      </c>
      <c r="E315" s="246">
        <v>252</v>
      </c>
      <c r="F315" s="218"/>
      <c r="G315" s="196"/>
      <c r="H315" s="1" t="s">
        <v>1225</v>
      </c>
      <c r="K315" s="141"/>
      <c r="L315" s="15">
        <v>2</v>
      </c>
      <c r="O315" s="274" t="e">
        <f>D315/#REF!</f>
        <v>#REF!</v>
      </c>
    </row>
    <row r="316" spans="1:15" ht="15">
      <c r="A316" s="173" t="s">
        <v>1387</v>
      </c>
      <c r="B316" s="164" t="s">
        <v>283</v>
      </c>
      <c r="C316" s="163" t="s">
        <v>1849</v>
      </c>
      <c r="D316" s="278">
        <f>LOOKUP(A316,'[4]PT OCT 2011'!$A$2:$A$730,'[4]PT OCT 2011'!$D$2:$D$730)</f>
        <v>51.415</v>
      </c>
      <c r="E316" s="246">
        <v>8.876</v>
      </c>
      <c r="F316" s="218"/>
      <c r="G316" s="196"/>
      <c r="H316" s="1"/>
      <c r="K316" s="141"/>
      <c r="L316" s="15">
        <v>2</v>
      </c>
      <c r="O316" s="274" t="e">
        <f>D316/#REF!</f>
        <v>#REF!</v>
      </c>
    </row>
    <row r="317" spans="1:15" ht="15">
      <c r="A317" s="173" t="s">
        <v>1388</v>
      </c>
      <c r="B317" s="164" t="s">
        <v>293</v>
      </c>
      <c r="C317" s="163" t="s">
        <v>1849</v>
      </c>
      <c r="D317" s="278">
        <f>LOOKUP(A317,'[4]PT OCT 2011'!$A$2:$A$730,'[4]PT OCT 2011'!$D$2:$D$730)</f>
        <v>14.66</v>
      </c>
      <c r="E317" s="246">
        <v>2.843</v>
      </c>
      <c r="F317" s="218"/>
      <c r="G317" s="196"/>
      <c r="H317" s="1"/>
      <c r="K317" s="141"/>
      <c r="L317" s="15">
        <v>2</v>
      </c>
      <c r="O317" s="274" t="e">
        <f>D317/#REF!</f>
        <v>#REF!</v>
      </c>
    </row>
    <row r="318" spans="1:15" ht="15">
      <c r="A318" s="173" t="s">
        <v>1389</v>
      </c>
      <c r="B318" s="164" t="s">
        <v>307</v>
      </c>
      <c r="C318" s="163" t="s">
        <v>1849</v>
      </c>
      <c r="D318" s="278">
        <f>LOOKUP(A318,'[4]PT OCT 2011'!$A$2:$A$730,'[4]PT OCT 2011'!$D$2:$D$730)</f>
        <v>7.415</v>
      </c>
      <c r="E318" s="246">
        <v>2.2314</v>
      </c>
      <c r="F318" s="218"/>
      <c r="G318" s="196"/>
      <c r="H318" s="1"/>
      <c r="K318" s="141"/>
      <c r="L318" s="15">
        <v>2</v>
      </c>
      <c r="O318" s="274" t="e">
        <f>D318/#REF!</f>
        <v>#REF!</v>
      </c>
    </row>
    <row r="319" spans="1:15" ht="15">
      <c r="A319" s="173" t="s">
        <v>1390</v>
      </c>
      <c r="B319" s="164" t="s">
        <v>322</v>
      </c>
      <c r="C319" s="163" t="s">
        <v>1849</v>
      </c>
      <c r="D319" s="278">
        <f>LOOKUP(A319,'[4]PT OCT 2011'!$A$2:$A$730,'[4]PT OCT 2011'!$D$2:$D$730)</f>
        <v>46.3</v>
      </c>
      <c r="E319" s="246">
        <v>16.4463</v>
      </c>
      <c r="F319" s="218"/>
      <c r="G319" s="196"/>
      <c r="H319" s="1"/>
      <c r="K319" s="141"/>
      <c r="L319" s="15">
        <v>2</v>
      </c>
      <c r="O319" s="274" t="e">
        <f>D319/#REF!</f>
        <v>#REF!</v>
      </c>
    </row>
    <row r="320" spans="1:15" ht="15">
      <c r="A320" s="173" t="s">
        <v>1391</v>
      </c>
      <c r="B320" s="164" t="s">
        <v>309</v>
      </c>
      <c r="C320" s="163" t="s">
        <v>1849</v>
      </c>
      <c r="D320" s="278">
        <f>LOOKUP(A320,'[4]PT OCT 2011'!$A$2:$A$730,'[4]PT OCT 2011'!$D$2:$D$730)</f>
        <v>34.345</v>
      </c>
      <c r="E320" s="246">
        <v>7.7521</v>
      </c>
      <c r="F320" s="218"/>
      <c r="G320" s="196"/>
      <c r="H320" s="1"/>
      <c r="K320" s="141"/>
      <c r="L320" s="15">
        <v>2</v>
      </c>
      <c r="O320" s="274" t="e">
        <f>D320/#REF!</f>
        <v>#REF!</v>
      </c>
    </row>
    <row r="321" spans="1:15" ht="15">
      <c r="A321" s="173" t="s">
        <v>1392</v>
      </c>
      <c r="B321" s="164" t="s">
        <v>294</v>
      </c>
      <c r="C321" s="163" t="s">
        <v>178</v>
      </c>
      <c r="D321" s="278">
        <f>LOOKUP(A321,'[4]PT OCT 2011'!$A$2:$A$730,'[4]PT OCT 2011'!$D$2:$D$730)</f>
        <v>43.115</v>
      </c>
      <c r="E321" s="246">
        <v>8.9339</v>
      </c>
      <c r="F321" s="218"/>
      <c r="G321" s="196"/>
      <c r="H321" s="1"/>
      <c r="K321" s="141"/>
      <c r="L321" s="15">
        <v>2</v>
      </c>
      <c r="O321" s="274" t="e">
        <f>D321/#REF!</f>
        <v>#REF!</v>
      </c>
    </row>
    <row r="322" spans="1:15" ht="15">
      <c r="A322" s="173" t="s">
        <v>302</v>
      </c>
      <c r="B322" s="164" t="s">
        <v>284</v>
      </c>
      <c r="C322" s="163" t="s">
        <v>178</v>
      </c>
      <c r="D322" s="278">
        <f>LOOKUP(A322,'[4]PT OCT 2011'!$A$2:$A$730,'[4]PT OCT 2011'!$D$2:$D$730)</f>
        <v>49744.025</v>
      </c>
      <c r="E322" s="246">
        <v>10000</v>
      </c>
      <c r="F322" s="218"/>
      <c r="G322" s="187"/>
      <c r="H322" s="9" t="s">
        <v>1273</v>
      </c>
      <c r="L322" s="15">
        <v>1</v>
      </c>
      <c r="O322" s="274" t="e">
        <f>D322/#REF!</f>
        <v>#REF!</v>
      </c>
    </row>
    <row r="323" spans="1:15" ht="15">
      <c r="A323" s="173" t="s">
        <v>303</v>
      </c>
      <c r="B323" s="164" t="s">
        <v>297</v>
      </c>
      <c r="C323" s="163" t="s">
        <v>178</v>
      </c>
      <c r="D323" s="278">
        <f>LOOKUP(A323,'[4]PT OCT 2011'!$A$2:$A$730,'[4]PT OCT 2011'!$D$2:$D$730)</f>
        <v>1308.9</v>
      </c>
      <c r="E323" s="246">
        <v>277.4</v>
      </c>
      <c r="F323" s="221"/>
      <c r="G323" s="187"/>
      <c r="H323" s="1" t="s">
        <v>1272</v>
      </c>
      <c r="L323" s="15">
        <v>1</v>
      </c>
      <c r="O323" s="274" t="e">
        <f>D323/#REF!</f>
        <v>#REF!</v>
      </c>
    </row>
    <row r="324" spans="1:15" ht="15">
      <c r="A324" s="173" t="s">
        <v>1393</v>
      </c>
      <c r="B324" s="164" t="s">
        <v>310</v>
      </c>
      <c r="C324" s="163" t="s">
        <v>178</v>
      </c>
      <c r="D324" s="278">
        <f>LOOKUP(A324,'[4]PT OCT 2011'!$A$2:$A$730,'[4]PT OCT 2011'!$D$2:$D$730)</f>
        <v>100.55</v>
      </c>
      <c r="E324" s="246">
        <v>49.7273</v>
      </c>
      <c r="F324" s="218"/>
      <c r="G324" s="196"/>
      <c r="H324" s="1" t="s">
        <v>1237</v>
      </c>
      <c r="L324" s="15">
        <v>2</v>
      </c>
      <c r="O324" s="274" t="e">
        <f>D324/#REF!</f>
        <v>#REF!</v>
      </c>
    </row>
    <row r="325" spans="1:15" ht="15">
      <c r="A325" s="173" t="s">
        <v>1394</v>
      </c>
      <c r="B325" s="164" t="s">
        <v>288</v>
      </c>
      <c r="C325" s="163" t="s">
        <v>178</v>
      </c>
      <c r="D325" s="278">
        <f>LOOKUP(A325,'[4]PT OCT 2011'!$A$2:$A$730,'[4]PT OCT 2011'!$D$2:$D$730)</f>
        <v>542.8</v>
      </c>
      <c r="E325" s="246">
        <v>156.1157</v>
      </c>
      <c r="F325" s="218"/>
      <c r="G325" s="196"/>
      <c r="H325" s="1"/>
      <c r="L325" s="15">
        <v>2</v>
      </c>
      <c r="O325" s="274" t="e">
        <f>D325/#REF!</f>
        <v>#REF!</v>
      </c>
    </row>
    <row r="326" spans="1:15" ht="15">
      <c r="A326" s="173" t="s">
        <v>1395</v>
      </c>
      <c r="B326" s="164" t="s">
        <v>311</v>
      </c>
      <c r="C326" s="163" t="s">
        <v>178</v>
      </c>
      <c r="D326" s="278">
        <f>LOOKUP(A326,'[4]PT OCT 2011'!$A$2:$A$730,'[4]PT OCT 2011'!$D$2:$D$730)</f>
        <v>83.78</v>
      </c>
      <c r="E326" s="246">
        <v>12.5207</v>
      </c>
      <c r="F326" s="218"/>
      <c r="G326" s="196"/>
      <c r="H326" s="1"/>
      <c r="L326" s="15">
        <v>2</v>
      </c>
      <c r="O326" s="274" t="e">
        <f>D326/#REF!</f>
        <v>#REF!</v>
      </c>
    </row>
    <row r="327" spans="1:15" ht="15" customHeight="1" hidden="1">
      <c r="A327" s="173" t="s">
        <v>1396</v>
      </c>
      <c r="B327" s="164" t="s">
        <v>323</v>
      </c>
      <c r="C327" s="163" t="s">
        <v>178</v>
      </c>
      <c r="D327" s="278">
        <f>LOOKUP(A327,'[4]PT OCT 2011'!$A$2:$A$730,'[4]PT OCT 2011'!$D$2:$D$730)</f>
        <v>83.78</v>
      </c>
      <c r="E327" s="246">
        <v>49.2975</v>
      </c>
      <c r="F327" s="218"/>
      <c r="G327" s="196"/>
      <c r="H327" s="1"/>
      <c r="L327" s="15">
        <v>2</v>
      </c>
      <c r="O327" s="274" t="e">
        <f>D327/#REF!</f>
        <v>#REF!</v>
      </c>
    </row>
    <row r="328" spans="1:15" ht="15" customHeight="1">
      <c r="A328" s="173" t="s">
        <v>1397</v>
      </c>
      <c r="B328" s="164" t="s">
        <v>312</v>
      </c>
      <c r="C328" s="163" t="s">
        <v>178</v>
      </c>
      <c r="D328" s="278">
        <f>LOOKUP(A328,'[4]PT OCT 2011'!$A$2:$A$730,'[4]PT OCT 2011'!$D$2:$D$730)</f>
        <v>1260.33</v>
      </c>
      <c r="E328" s="246">
        <v>114.7521</v>
      </c>
      <c r="F328" s="218"/>
      <c r="G328" s="196"/>
      <c r="H328" s="1"/>
      <c r="L328" s="15">
        <v>2</v>
      </c>
      <c r="O328" s="274" t="e">
        <f>D328/#REF!</f>
        <v>#REF!</v>
      </c>
    </row>
    <row r="329" spans="1:15" ht="15" customHeight="1">
      <c r="A329" s="173" t="s">
        <v>1398</v>
      </c>
      <c r="B329" s="164" t="s">
        <v>313</v>
      </c>
      <c r="C329" s="163" t="s">
        <v>178</v>
      </c>
      <c r="D329" s="278">
        <f>LOOKUP(A329,'[4]PT OCT 2011'!$A$2:$A$730,'[4]PT OCT 2011'!$D$2:$D$730)</f>
        <v>1086.985</v>
      </c>
      <c r="E329" s="246">
        <v>156.2562</v>
      </c>
      <c r="F329" s="218"/>
      <c r="G329" s="196"/>
      <c r="H329" s="1"/>
      <c r="L329" s="15">
        <v>2</v>
      </c>
      <c r="O329" s="274" t="e">
        <f>D329/#REF!</f>
        <v>#REF!</v>
      </c>
    </row>
    <row r="330" spans="1:15" ht="15" customHeight="1">
      <c r="A330" s="173" t="s">
        <v>1399</v>
      </c>
      <c r="B330" s="164" t="s">
        <v>291</v>
      </c>
      <c r="C330" s="163" t="s">
        <v>178</v>
      </c>
      <c r="D330" s="278">
        <f>LOOKUP(A330,'[4]PT OCT 2011'!$A$2:$A$730,'[4]PT OCT 2011'!$D$2:$D$730)</f>
        <v>561.98</v>
      </c>
      <c r="E330" s="246">
        <v>21.3719</v>
      </c>
      <c r="F330" s="218"/>
      <c r="G330" s="196"/>
      <c r="H330" s="1"/>
      <c r="L330" s="15">
        <v>2</v>
      </c>
      <c r="O330" s="274" t="e">
        <f>D330/#REF!</f>
        <v>#REF!</v>
      </c>
    </row>
    <row r="331" spans="1:15" ht="15" customHeight="1">
      <c r="A331" s="173" t="s">
        <v>1400</v>
      </c>
      <c r="B331" s="164" t="s">
        <v>292</v>
      </c>
      <c r="C331" s="163" t="s">
        <v>178</v>
      </c>
      <c r="D331" s="278">
        <f>LOOKUP(A331,'[4]PT OCT 2011'!$A$2:$A$730,'[4]PT OCT 2011'!$D$2:$D$730)</f>
        <v>619.83</v>
      </c>
      <c r="E331" s="246">
        <v>9.4876</v>
      </c>
      <c r="F331" s="218"/>
      <c r="G331" s="196"/>
      <c r="H331" s="1"/>
      <c r="L331" s="15">
        <v>2</v>
      </c>
      <c r="O331" s="274" t="e">
        <f>D331/#REF!</f>
        <v>#REF!</v>
      </c>
    </row>
    <row r="332" spans="1:15" ht="15" customHeight="1" hidden="1">
      <c r="A332" s="173" t="s">
        <v>304</v>
      </c>
      <c r="B332" s="164" t="s">
        <v>320</v>
      </c>
      <c r="C332" s="163" t="s">
        <v>347</v>
      </c>
      <c r="D332" s="278">
        <f>LOOKUP(A332,'[4]PT OCT 2011'!$A$2:$A$730,'[4]PT OCT 2011'!$D$2:$D$730)</f>
        <v>8.805</v>
      </c>
      <c r="E332" s="246">
        <v>3.39</v>
      </c>
      <c r="F332" s="218"/>
      <c r="G332" s="196"/>
      <c r="H332" s="1"/>
      <c r="L332" s="15">
        <v>2</v>
      </c>
      <c r="O332" s="274" t="e">
        <f>D332/#REF!</f>
        <v>#REF!</v>
      </c>
    </row>
    <row r="333" spans="1:15" ht="15" customHeight="1">
      <c r="A333" s="173" t="s">
        <v>195</v>
      </c>
      <c r="B333" s="164" t="s">
        <v>220</v>
      </c>
      <c r="C333" s="163" t="s">
        <v>178</v>
      </c>
      <c r="D333" s="278">
        <f>LOOKUP(A333,'[4]PT OCT 2011'!$A$2:$A$730,'[4]PT OCT 2011'!$D$2:$D$730)</f>
        <v>30.78</v>
      </c>
      <c r="E333" s="246">
        <v>18.9008</v>
      </c>
      <c r="F333" s="218"/>
      <c r="G333" s="187"/>
      <c r="H333" s="1"/>
      <c r="L333" s="15">
        <v>1</v>
      </c>
      <c r="O333" s="274" t="e">
        <f>D333/#REF!</f>
        <v>#REF!</v>
      </c>
    </row>
    <row r="334" spans="1:15" ht="15" customHeight="1">
      <c r="A334" s="173" t="s">
        <v>221</v>
      </c>
      <c r="B334" s="164" t="s">
        <v>222</v>
      </c>
      <c r="C334" s="163" t="s">
        <v>178</v>
      </c>
      <c r="D334" s="278">
        <f>LOOKUP(A334,'[4]PT OCT 2011'!$A$2:$A$730,'[4]PT OCT 2011'!$D$2:$D$730)</f>
        <v>30.78</v>
      </c>
      <c r="E334" s="246">
        <v>18.9008</v>
      </c>
      <c r="F334" s="218"/>
      <c r="G334" s="187"/>
      <c r="H334" s="1"/>
      <c r="L334" s="15">
        <v>1</v>
      </c>
      <c r="O334" s="274" t="e">
        <f>D334/#REF!</f>
        <v>#REF!</v>
      </c>
    </row>
    <row r="335" spans="1:15" ht="15" customHeight="1">
      <c r="A335" s="173" t="s">
        <v>150</v>
      </c>
      <c r="B335" s="164" t="s">
        <v>99</v>
      </c>
      <c r="C335" s="163" t="s">
        <v>1849</v>
      </c>
      <c r="D335" s="278">
        <f>LOOKUP(A335,'[4]PT OCT 2011'!$A$2:$A$730,'[4]PT OCT 2011'!$D$2:$D$730)</f>
        <v>3.81</v>
      </c>
      <c r="E335" s="246">
        <v>1.3554</v>
      </c>
      <c r="F335" s="218"/>
      <c r="G335" s="187"/>
      <c r="H335" s="1"/>
      <c r="L335" s="15">
        <v>1</v>
      </c>
      <c r="O335" s="274" t="e">
        <f>D335/#REF!</f>
        <v>#REF!</v>
      </c>
    </row>
    <row r="336" spans="1:15" ht="15" customHeight="1">
      <c r="A336" s="173" t="s">
        <v>152</v>
      </c>
      <c r="B336" s="164" t="s">
        <v>100</v>
      </c>
      <c r="C336" s="163" t="s">
        <v>1849</v>
      </c>
      <c r="D336" s="278">
        <f>LOOKUP(A336,'[4]PT OCT 2011'!$A$2:$A$730,'[4]PT OCT 2011'!$D$2:$D$730)</f>
        <v>15.45</v>
      </c>
      <c r="E336" s="246">
        <v>5.1322</v>
      </c>
      <c r="F336" s="218"/>
      <c r="G336" s="187"/>
      <c r="H336" s="1"/>
      <c r="L336" s="15">
        <v>1</v>
      </c>
      <c r="O336" s="274" t="e">
        <f>D336/#REF!</f>
        <v>#REF!</v>
      </c>
    </row>
    <row r="337" spans="1:15" ht="15" customHeight="1">
      <c r="A337" s="173" t="s">
        <v>154</v>
      </c>
      <c r="B337" s="164" t="s">
        <v>101</v>
      </c>
      <c r="C337" s="163" t="s">
        <v>1849</v>
      </c>
      <c r="D337" s="278">
        <f>LOOKUP(A337,'[4]PT OCT 2011'!$A$2:$A$730,'[4]PT OCT 2011'!$D$2:$D$730)</f>
        <v>24.56</v>
      </c>
      <c r="E337" s="246">
        <v>8.0992</v>
      </c>
      <c r="F337" s="218"/>
      <c r="G337" s="187"/>
      <c r="H337" s="1"/>
      <c r="L337" s="15">
        <v>1</v>
      </c>
      <c r="O337" s="274" t="e">
        <f>D337/#REF!</f>
        <v>#REF!</v>
      </c>
    </row>
    <row r="338" spans="1:15" ht="15" customHeight="1" hidden="1">
      <c r="A338" s="173" t="s">
        <v>158</v>
      </c>
      <c r="B338" s="164" t="s">
        <v>102</v>
      </c>
      <c r="C338" s="163" t="s">
        <v>178</v>
      </c>
      <c r="D338" s="278">
        <f>LOOKUP(A338,'[4]PT OCT 2011'!$A$2:$A$730,'[4]PT OCT 2011'!$D$2:$D$730)</f>
        <v>24.56</v>
      </c>
      <c r="E338" s="246">
        <v>91.876</v>
      </c>
      <c r="F338" s="218"/>
      <c r="G338" s="187"/>
      <c r="H338" s="1"/>
      <c r="L338" s="15">
        <v>1</v>
      </c>
      <c r="O338" s="274" t="e">
        <f>D338/#REF!</f>
        <v>#REF!</v>
      </c>
    </row>
    <row r="339" spans="1:15" ht="15" customHeight="1">
      <c r="A339" s="173" t="s">
        <v>1332</v>
      </c>
      <c r="B339" s="164" t="s">
        <v>103</v>
      </c>
      <c r="C339" s="163" t="s">
        <v>178</v>
      </c>
      <c r="D339" s="278">
        <f>LOOKUP(A339,'[4]PT OCT 2011'!$A$2:$A$730,'[4]PT OCT 2011'!$D$2:$D$730)</f>
        <v>85.55</v>
      </c>
      <c r="E339" s="246">
        <v>77.3967</v>
      </c>
      <c r="F339" s="218"/>
      <c r="G339" s="187"/>
      <c r="H339" s="1"/>
      <c r="L339" s="15">
        <v>1</v>
      </c>
      <c r="O339" s="274" t="e">
        <f>D339/#REF!</f>
        <v>#REF!</v>
      </c>
    </row>
    <row r="340" spans="1:15" ht="15" customHeight="1">
      <c r="A340" s="173" t="s">
        <v>161</v>
      </c>
      <c r="B340" s="164" t="s">
        <v>104</v>
      </c>
      <c r="C340" s="163" t="s">
        <v>178</v>
      </c>
      <c r="D340" s="278">
        <f>LOOKUP(A340,'[4]PT OCT 2011'!$A$2:$A$730,'[4]PT OCT 2011'!$D$2:$D$730)</f>
        <v>67.53</v>
      </c>
      <c r="E340" s="246">
        <v>40.5041</v>
      </c>
      <c r="F340" s="218"/>
      <c r="G340" s="187"/>
      <c r="H340" s="1"/>
      <c r="L340" s="15">
        <v>1</v>
      </c>
      <c r="O340" s="274" t="e">
        <f>D340/#REF!</f>
        <v>#REF!</v>
      </c>
    </row>
    <row r="341" spans="1:15" ht="15" customHeight="1">
      <c r="A341" s="173" t="s">
        <v>162</v>
      </c>
      <c r="B341" s="164" t="s">
        <v>105</v>
      </c>
      <c r="C341" s="163" t="s">
        <v>178</v>
      </c>
      <c r="D341" s="278">
        <f>LOOKUP(A341,'[4]PT OCT 2011'!$A$2:$A$730,'[4]PT OCT 2011'!$D$2:$D$730)</f>
        <v>67.53</v>
      </c>
      <c r="E341" s="246">
        <v>40.5041</v>
      </c>
      <c r="F341" s="218"/>
      <c r="G341" s="187"/>
      <c r="H341" s="1"/>
      <c r="L341" s="15">
        <v>1</v>
      </c>
      <c r="O341" s="274" t="e">
        <f>D341/#REF!</f>
        <v>#REF!</v>
      </c>
    </row>
    <row r="342" spans="1:15" ht="15" customHeight="1">
      <c r="A342" s="173" t="s">
        <v>1949</v>
      </c>
      <c r="B342" s="164" t="s">
        <v>223</v>
      </c>
      <c r="C342" s="163" t="s">
        <v>1976</v>
      </c>
      <c r="D342" s="278">
        <f>LOOKUP(A342,'[4]PT OCT 2011'!$A$2:$A$730,'[4]PT OCT 2011'!$D$2:$D$730)</f>
        <v>60.33</v>
      </c>
      <c r="E342" s="246">
        <v>18.0992</v>
      </c>
      <c r="F342" s="218"/>
      <c r="G342" s="187"/>
      <c r="H342" s="1" t="s">
        <v>1295</v>
      </c>
      <c r="L342" s="15">
        <v>1</v>
      </c>
      <c r="O342" s="274" t="e">
        <f>D342/#REF!</f>
        <v>#REF!</v>
      </c>
    </row>
    <row r="343" spans="1:15" ht="15" customHeight="1" hidden="1">
      <c r="A343" s="173" t="s">
        <v>1105</v>
      </c>
      <c r="B343" s="164" t="s">
        <v>1106</v>
      </c>
      <c r="C343" s="163" t="s">
        <v>1849</v>
      </c>
      <c r="D343" s="278">
        <f>LOOKUP(A343,'[4]PT OCT 2011'!$A$2:$A$730,'[4]PT OCT 2011'!$D$2:$D$730)</f>
        <v>60.33</v>
      </c>
      <c r="E343" s="246">
        <v>210.16</v>
      </c>
      <c r="F343" s="218"/>
      <c r="G343" s="189"/>
      <c r="H343" s="94" t="s">
        <v>1180</v>
      </c>
      <c r="I343" s="15">
        <v>217.486</v>
      </c>
      <c r="L343" s="15">
        <v>1</v>
      </c>
      <c r="O343" s="274" t="e">
        <f>D343/#REF!</f>
        <v>#REF!</v>
      </c>
    </row>
    <row r="344" spans="1:15" ht="15" customHeight="1" hidden="1">
      <c r="A344" s="173" t="s">
        <v>1107</v>
      </c>
      <c r="B344" s="164" t="s">
        <v>1108</v>
      </c>
      <c r="C344" s="163" t="s">
        <v>1849</v>
      </c>
      <c r="D344" s="278">
        <f>LOOKUP(A344,'[4]PT OCT 2011'!$A$2:$A$730,'[4]PT OCT 2011'!$D$2:$D$730)</f>
        <v>60.33</v>
      </c>
      <c r="E344" s="246">
        <v>264.12</v>
      </c>
      <c r="F344" s="218"/>
      <c r="G344" s="187"/>
      <c r="H344" s="94" t="s">
        <v>1180</v>
      </c>
      <c r="I344" s="15">
        <v>273.327</v>
      </c>
      <c r="L344" s="15">
        <v>1</v>
      </c>
      <c r="O344" s="274" t="e">
        <f>D344/#REF!</f>
        <v>#REF!</v>
      </c>
    </row>
    <row r="345" spans="1:15" ht="15" customHeight="1" hidden="1">
      <c r="A345" s="173" t="s">
        <v>1109</v>
      </c>
      <c r="B345" s="164" t="s">
        <v>1110</v>
      </c>
      <c r="C345" s="163" t="s">
        <v>1849</v>
      </c>
      <c r="D345" s="278">
        <f>LOOKUP(A345,'[4]PT OCT 2011'!$A$2:$A$730,'[4]PT OCT 2011'!$D$2:$D$730)</f>
        <v>60.33</v>
      </c>
      <c r="E345" s="246">
        <v>627.64</v>
      </c>
      <c r="F345" s="218"/>
      <c r="G345" s="189"/>
      <c r="H345" s="94" t="s">
        <v>1180</v>
      </c>
      <c r="I345" s="15">
        <v>649.519</v>
      </c>
      <c r="L345" s="15">
        <v>1</v>
      </c>
      <c r="O345" s="274" t="e">
        <f>D345/#REF!</f>
        <v>#REF!</v>
      </c>
    </row>
    <row r="346" spans="1:15" ht="15" customHeight="1" hidden="1">
      <c r="A346" s="173" t="s">
        <v>1111</v>
      </c>
      <c r="B346" s="164" t="s">
        <v>1112</v>
      </c>
      <c r="C346" s="163" t="s">
        <v>1849</v>
      </c>
      <c r="D346" s="278">
        <f>LOOKUP(A346,'[4]PT OCT 2011'!$A$2:$A$730,'[4]PT OCT 2011'!$D$2:$D$730)</f>
        <v>60.33</v>
      </c>
      <c r="E346" s="246">
        <v>1056.48</v>
      </c>
      <c r="F346" s="218"/>
      <c r="G346" s="189"/>
      <c r="H346" s="94" t="s">
        <v>1180</v>
      </c>
      <c r="I346" s="15">
        <v>1093.308</v>
      </c>
      <c r="L346" s="15">
        <v>1</v>
      </c>
      <c r="O346" s="274" t="e">
        <f>D346/#REF!</f>
        <v>#REF!</v>
      </c>
    </row>
    <row r="347" spans="1:15" ht="15" hidden="1">
      <c r="A347" s="173" t="s">
        <v>1113</v>
      </c>
      <c r="B347" s="164" t="s">
        <v>1114</v>
      </c>
      <c r="C347" s="163" t="s">
        <v>1849</v>
      </c>
      <c r="D347" s="278">
        <f>LOOKUP(A347,'[4]PT OCT 2011'!$A$2:$A$730,'[4]PT OCT 2011'!$D$2:$D$730)</f>
        <v>60.33</v>
      </c>
      <c r="E347" s="246">
        <v>1136</v>
      </c>
      <c r="F347" s="218"/>
      <c r="G347" s="189"/>
      <c r="H347" s="94" t="s">
        <v>1180</v>
      </c>
      <c r="I347" s="15">
        <v>1175.6</v>
      </c>
      <c r="L347" s="15">
        <v>1</v>
      </c>
      <c r="O347" s="274" t="e">
        <f>D347/#REF!</f>
        <v>#REF!</v>
      </c>
    </row>
    <row r="348" spans="1:15" ht="15">
      <c r="A348" s="173" t="s">
        <v>1115</v>
      </c>
      <c r="B348" s="164" t="s">
        <v>1116</v>
      </c>
      <c r="C348" s="163" t="s">
        <v>178</v>
      </c>
      <c r="D348" s="278">
        <f>LOOKUP(A348,'[4]PT OCT 2011'!$A$2:$A$730,'[4]PT OCT 2011'!$D$2:$D$730)</f>
        <v>652.1633</v>
      </c>
      <c r="E348" s="246">
        <v>195.185</v>
      </c>
      <c r="F348" s="221"/>
      <c r="G348" s="196"/>
      <c r="H348" s="94" t="s">
        <v>1181</v>
      </c>
      <c r="I348" s="15">
        <v>121.46</v>
      </c>
      <c r="L348" s="15">
        <v>1</v>
      </c>
      <c r="O348" s="274" t="e">
        <f>D348/#REF!</f>
        <v>#REF!</v>
      </c>
    </row>
    <row r="349" spans="1:15" ht="15">
      <c r="A349" s="173" t="s">
        <v>1117</v>
      </c>
      <c r="B349" s="164" t="s">
        <v>1118</v>
      </c>
      <c r="C349" s="163" t="s">
        <v>178</v>
      </c>
      <c r="D349" s="278">
        <f>LOOKUP(A349,'[4]PT OCT 2011'!$A$2:$A$730,'[4]PT OCT 2011'!$D$2:$D$730)</f>
        <v>845.62</v>
      </c>
      <c r="E349" s="246">
        <v>257.77</v>
      </c>
      <c r="F349" s="221"/>
      <c r="G349" s="196"/>
      <c r="H349" s="94" t="s">
        <v>1181</v>
      </c>
      <c r="I349" s="15">
        <v>163.9</v>
      </c>
      <c r="L349" s="15">
        <v>1</v>
      </c>
      <c r="O349" s="274" t="e">
        <f>D349/#REF!</f>
        <v>#REF!</v>
      </c>
    </row>
    <row r="350" spans="1:15" ht="15">
      <c r="A350" s="173" t="s">
        <v>1119</v>
      </c>
      <c r="B350" s="164" t="s">
        <v>1120</v>
      </c>
      <c r="C350" s="163" t="s">
        <v>178</v>
      </c>
      <c r="D350" s="278">
        <f>LOOKUP(A350,'[4]PT OCT 2011'!$A$2:$A$730,'[4]PT OCT 2011'!$D$2:$D$730)</f>
        <v>1030.9767</v>
      </c>
      <c r="E350" s="246">
        <v>312.575</v>
      </c>
      <c r="F350" s="221"/>
      <c r="G350" s="196"/>
      <c r="H350" s="94" t="s">
        <v>1181</v>
      </c>
      <c r="I350" s="15">
        <v>208.48</v>
      </c>
      <c r="L350" s="15">
        <v>1</v>
      </c>
      <c r="O350" s="274" t="e">
        <f>D350/#REF!</f>
        <v>#REF!</v>
      </c>
    </row>
    <row r="351" spans="1:15" ht="15">
      <c r="A351" s="173" t="s">
        <v>1121</v>
      </c>
      <c r="B351" s="164" t="s">
        <v>1122</v>
      </c>
      <c r="C351" s="163" t="s">
        <v>178</v>
      </c>
      <c r="D351" s="278">
        <f>LOOKUP(A351,'[4]PT OCT 2011'!$A$2:$A$730,'[4]PT OCT 2011'!$D$2:$D$730)</f>
        <v>433.6467</v>
      </c>
      <c r="E351" s="246">
        <v>163.94</v>
      </c>
      <c r="F351" s="221"/>
      <c r="G351" s="196"/>
      <c r="H351" s="94" t="s">
        <v>1181</v>
      </c>
      <c r="I351" s="15">
        <v>132.63</v>
      </c>
      <c r="L351" s="15">
        <v>1</v>
      </c>
      <c r="O351" s="274" t="e">
        <f>D351/#REF!</f>
        <v>#REF!</v>
      </c>
    </row>
    <row r="352" spans="1:15" ht="15">
      <c r="A352" s="173" t="s">
        <v>1123</v>
      </c>
      <c r="B352" s="164" t="s">
        <v>1124</v>
      </c>
      <c r="C352" s="163" t="s">
        <v>1976</v>
      </c>
      <c r="D352" s="278">
        <f>LOOKUP(A352,'[4]PT OCT 2011'!$A$2:$A$730,'[4]PT OCT 2011'!$D$2:$D$730)</f>
        <v>5.2367</v>
      </c>
      <c r="E352" s="246">
        <v>1.823</v>
      </c>
      <c r="F352" s="218"/>
      <c r="G352" s="189"/>
      <c r="H352" s="94" t="s">
        <v>1181</v>
      </c>
      <c r="I352" s="15">
        <v>1.91035</v>
      </c>
      <c r="L352" s="15">
        <v>1</v>
      </c>
      <c r="O352" s="274" t="e">
        <f>D352/#REF!</f>
        <v>#REF!</v>
      </c>
    </row>
    <row r="353" spans="1:15" ht="15">
      <c r="A353" s="173" t="s">
        <v>1125</v>
      </c>
      <c r="B353" s="164" t="s">
        <v>1126</v>
      </c>
      <c r="C353" s="163" t="s">
        <v>178</v>
      </c>
      <c r="D353" s="278">
        <f>LOOKUP(A353,'[4]PT OCT 2011'!$A$2:$A$730,'[4]PT OCT 2011'!$D$2:$D$730)</f>
        <v>690.84</v>
      </c>
      <c r="E353" s="246">
        <v>35.39</v>
      </c>
      <c r="F353" s="218"/>
      <c r="G353" s="189"/>
      <c r="H353" s="94" t="s">
        <v>1182</v>
      </c>
      <c r="I353" s="15">
        <v>36.6256482939633</v>
      </c>
      <c r="L353" s="15">
        <v>1</v>
      </c>
      <c r="O353" s="274" t="e">
        <f>D353/#REF!</f>
        <v>#REF!</v>
      </c>
    </row>
    <row r="354" spans="1:15" ht="15">
      <c r="A354" s="173" t="s">
        <v>1127</v>
      </c>
      <c r="B354" s="164" t="s">
        <v>1128</v>
      </c>
      <c r="C354" s="163" t="s">
        <v>178</v>
      </c>
      <c r="D354" s="278">
        <f>LOOKUP(A354,'[4]PT OCT 2011'!$A$2:$A$730,'[4]PT OCT 2011'!$D$2:$D$730)</f>
        <v>137.78</v>
      </c>
      <c r="E354" s="246">
        <v>50.1</v>
      </c>
      <c r="F354" s="218"/>
      <c r="G354" s="189"/>
      <c r="H354" s="94" t="s">
        <v>1182</v>
      </c>
      <c r="I354" s="15">
        <v>51.84396</v>
      </c>
      <c r="L354" s="15">
        <v>1</v>
      </c>
      <c r="O354" s="274" t="e">
        <f>D354/#REF!</f>
        <v>#REF!</v>
      </c>
    </row>
    <row r="355" spans="1:15" ht="15" hidden="1">
      <c r="A355" s="173" t="s">
        <v>1129</v>
      </c>
      <c r="B355" s="164" t="s">
        <v>1130</v>
      </c>
      <c r="C355" s="163" t="s">
        <v>178</v>
      </c>
      <c r="D355" s="278">
        <f>LOOKUP(A355,'[4]PT OCT 2011'!$A$2:$A$730,'[4]PT OCT 2011'!$D$2:$D$730)</f>
        <v>137.78</v>
      </c>
      <c r="E355" s="246">
        <v>110.76</v>
      </c>
      <c r="F355" s="218"/>
      <c r="G355" s="189"/>
      <c r="H355" s="94" t="s">
        <v>1182</v>
      </c>
      <c r="I355" s="15">
        <v>114.621</v>
      </c>
      <c r="L355" s="15">
        <v>1</v>
      </c>
      <c r="O355" s="274" t="e">
        <f>D355/#REF!</f>
        <v>#REF!</v>
      </c>
    </row>
    <row r="356" spans="1:15" ht="15" hidden="1">
      <c r="A356" s="173" t="s">
        <v>1131</v>
      </c>
      <c r="B356" s="164" t="s">
        <v>1132</v>
      </c>
      <c r="C356" s="163" t="s">
        <v>178</v>
      </c>
      <c r="D356" s="278">
        <f>LOOKUP(A356,'[4]PT OCT 2011'!$A$2:$A$730,'[4]PT OCT 2011'!$D$2:$D$730)</f>
        <v>114.11</v>
      </c>
      <c r="E356" s="246">
        <v>53.96</v>
      </c>
      <c r="F356" s="218"/>
      <c r="G356" s="189"/>
      <c r="H356" s="94" t="s">
        <v>1182</v>
      </c>
      <c r="I356" s="15">
        <v>55.841</v>
      </c>
      <c r="L356" s="15">
        <v>1</v>
      </c>
      <c r="O356" s="274" t="e">
        <f>D356/#REF!</f>
        <v>#REF!</v>
      </c>
    </row>
    <row r="357" spans="1:15" ht="15">
      <c r="A357" s="173" t="s">
        <v>1133</v>
      </c>
      <c r="B357" s="369" t="s">
        <v>1588</v>
      </c>
      <c r="C357" s="163" t="s">
        <v>397</v>
      </c>
      <c r="D357" s="278">
        <f>LOOKUP(A357,'[4]PT OCT 2011'!$A$2:$A$730,'[4]PT OCT 2011'!$D$2:$D$730)</f>
        <v>3125.42</v>
      </c>
      <c r="E357" s="246">
        <v>785.8</v>
      </c>
      <c r="F357" s="218"/>
      <c r="G357" s="201"/>
      <c r="H357" s="9" t="s">
        <v>1299</v>
      </c>
      <c r="L357" s="15">
        <v>1</v>
      </c>
      <c r="O357" s="274" t="e">
        <f>D357/#REF!</f>
        <v>#REF!</v>
      </c>
    </row>
    <row r="358" spans="1:15" ht="15">
      <c r="A358" s="173" t="s">
        <v>1134</v>
      </c>
      <c r="B358" s="368" t="s">
        <v>1589</v>
      </c>
      <c r="C358" s="163" t="s">
        <v>397</v>
      </c>
      <c r="D358" s="278">
        <f>LOOKUP(A358,'[4]PT OCT 2011'!$A$2:$A$730,'[4]PT OCT 2011'!$D$2:$D$730)</f>
        <v>2770.21</v>
      </c>
      <c r="E358" s="246">
        <v>775.8</v>
      </c>
      <c r="F358" s="218"/>
      <c r="G358" s="201"/>
      <c r="H358" s="9" t="s">
        <v>1300</v>
      </c>
      <c r="L358" s="15">
        <v>1</v>
      </c>
      <c r="O358" s="274" t="e">
        <f>D358/#REF!</f>
        <v>#REF!</v>
      </c>
    </row>
    <row r="359" spans="1:15" ht="15">
      <c r="A359" s="173" t="s">
        <v>1135</v>
      </c>
      <c r="B359" s="164" t="s">
        <v>1136</v>
      </c>
      <c r="C359" s="163" t="s">
        <v>397</v>
      </c>
      <c r="D359" s="278">
        <f>LOOKUP(A359,'[4]PT OCT 2011'!$A$2:$A$730,'[4]PT OCT 2011'!$D$2:$D$730)</f>
        <v>2526.36</v>
      </c>
      <c r="E359" s="246">
        <v>825.8</v>
      </c>
      <c r="F359" s="218"/>
      <c r="G359" s="201"/>
      <c r="H359" s="9" t="s">
        <v>1301</v>
      </c>
      <c r="L359" s="15">
        <v>1</v>
      </c>
      <c r="O359" s="274" t="e">
        <f>D359/#REF!</f>
        <v>#REF!</v>
      </c>
    </row>
    <row r="360" spans="1:15" ht="15">
      <c r="A360" s="173" t="s">
        <v>1137</v>
      </c>
      <c r="B360" s="164" t="s">
        <v>1138</v>
      </c>
      <c r="C360" s="163" t="s">
        <v>397</v>
      </c>
      <c r="D360" s="278">
        <f>LOOKUP(A360,'[4]PT OCT 2011'!$A$2:$A$730,'[4]PT OCT 2011'!$D$2:$D$730)</f>
        <v>2990.87</v>
      </c>
      <c r="E360" s="246">
        <v>695.8</v>
      </c>
      <c r="F360" s="218"/>
      <c r="G360" s="201"/>
      <c r="H360" s="9" t="s">
        <v>1302</v>
      </c>
      <c r="L360" s="15">
        <v>1</v>
      </c>
      <c r="O360" s="274" t="e">
        <f>D360/#REF!</f>
        <v>#REF!</v>
      </c>
    </row>
    <row r="361" spans="1:15" ht="15">
      <c r="A361" s="173" t="s">
        <v>1139</v>
      </c>
      <c r="B361" s="164" t="s">
        <v>1140</v>
      </c>
      <c r="C361" s="163" t="s">
        <v>404</v>
      </c>
      <c r="D361" s="278">
        <f>LOOKUP(A361,'[4]PT OCT 2011'!$A$2:$A$730,'[4]PT OCT 2011'!$D$2:$D$730)</f>
        <v>2900</v>
      </c>
      <c r="E361" s="246">
        <v>482.8</v>
      </c>
      <c r="F361" s="218"/>
      <c r="G361" s="189"/>
      <c r="H361" s="94" t="s">
        <v>1183</v>
      </c>
      <c r="I361" s="15">
        <v>499.63</v>
      </c>
      <c r="L361" s="15">
        <v>1</v>
      </c>
      <c r="O361" s="274" t="e">
        <f>D361/#REF!</f>
        <v>#REF!</v>
      </c>
    </row>
    <row r="362" spans="1:15" ht="15">
      <c r="A362" s="173" t="s">
        <v>1141</v>
      </c>
      <c r="B362" s="164" t="s">
        <v>1142</v>
      </c>
      <c r="C362" s="163" t="s">
        <v>1143</v>
      </c>
      <c r="D362" s="278">
        <f>LOOKUP(A362,'[4]PT OCT 2011'!$A$2:$A$730,'[4]PT OCT 2011'!$D$2:$D$730)</f>
        <v>0.19</v>
      </c>
      <c r="E362" s="246">
        <v>0.043</v>
      </c>
      <c r="F362" s="218"/>
      <c r="G362" s="189"/>
      <c r="H362" s="94" t="s">
        <v>1183</v>
      </c>
      <c r="I362" s="15">
        <v>0.044085</v>
      </c>
      <c r="L362" s="15">
        <v>1</v>
      </c>
      <c r="O362" s="274" t="e">
        <f>D362/#REF!</f>
        <v>#REF!</v>
      </c>
    </row>
    <row r="363" spans="1:15" ht="15">
      <c r="A363" s="173" t="s">
        <v>1144</v>
      </c>
      <c r="B363" s="164" t="s">
        <v>1234</v>
      </c>
      <c r="C363" s="163" t="s">
        <v>1976</v>
      </c>
      <c r="D363" s="278">
        <f>LOOKUP(A363,'[4]PT OCT 2011'!$A$2:$A$730,'[4]PT OCT 2011'!$D$2:$D$730)</f>
        <v>74.38</v>
      </c>
      <c r="E363" s="246">
        <v>29</v>
      </c>
      <c r="F363" s="218"/>
      <c r="G363" s="176"/>
      <c r="H363" s="94" t="s">
        <v>1184</v>
      </c>
      <c r="L363" s="15">
        <v>1</v>
      </c>
      <c r="O363" s="274" t="e">
        <f>D363/#REF!</f>
        <v>#REF!</v>
      </c>
    </row>
    <row r="364" spans="1:15" ht="15">
      <c r="A364" s="173" t="s">
        <v>1145</v>
      </c>
      <c r="B364" s="313" t="s">
        <v>1590</v>
      </c>
      <c r="C364" s="163" t="s">
        <v>397</v>
      </c>
      <c r="D364" s="278">
        <f>LOOKUP(A364,'[4]PT OCT 2011'!$A$2:$A$730,'[4]PT OCT 2011'!$D$2:$D$730)</f>
        <v>4124.64</v>
      </c>
      <c r="E364" s="246">
        <v>799.4</v>
      </c>
      <c r="F364" s="218"/>
      <c r="G364" s="202"/>
      <c r="H364" s="94" t="s">
        <v>1242</v>
      </c>
      <c r="L364" s="15">
        <v>1</v>
      </c>
      <c r="O364" s="274" t="e">
        <f>D364/#REF!</f>
        <v>#REF!</v>
      </c>
    </row>
    <row r="365" spans="1:15" ht="15">
      <c r="A365" s="173" t="s">
        <v>1146</v>
      </c>
      <c r="B365" s="164" t="s">
        <v>1147</v>
      </c>
      <c r="C365" s="163" t="s">
        <v>178</v>
      </c>
      <c r="D365" s="278">
        <f>LOOKUP(A365,'[4]PT OCT 2011'!$A$2:$A$730,'[4]PT OCT 2011'!$D$2:$D$730)</f>
        <v>82000</v>
      </c>
      <c r="E365" s="246">
        <v>21500</v>
      </c>
      <c r="F365" s="218"/>
      <c r="G365" s="176"/>
      <c r="H365" s="94" t="s">
        <v>1185</v>
      </c>
      <c r="L365" s="15">
        <v>1</v>
      </c>
      <c r="O365" s="274" t="e">
        <f>D365/#REF!</f>
        <v>#REF!</v>
      </c>
    </row>
    <row r="366" spans="1:15" ht="15">
      <c r="A366" s="173" t="s">
        <v>1148</v>
      </c>
      <c r="B366" s="164" t="s">
        <v>1149</v>
      </c>
      <c r="C366" s="163" t="s">
        <v>178</v>
      </c>
      <c r="D366" s="278">
        <f>LOOKUP(A366,'[4]PT OCT 2011'!$A$2:$A$730,'[4]PT OCT 2011'!$D$2:$D$730)</f>
        <v>13322.31</v>
      </c>
      <c r="E366" s="246">
        <v>3175</v>
      </c>
      <c r="F366" s="218"/>
      <c r="G366" s="176"/>
      <c r="H366" s="94" t="s">
        <v>1185</v>
      </c>
      <c r="K366" s="15">
        <f>K367/1.21</f>
        <v>20753.25</v>
      </c>
      <c r="L366" s="15">
        <v>1</v>
      </c>
      <c r="O366" s="274" t="e">
        <f>D366/#REF!</f>
        <v>#REF!</v>
      </c>
    </row>
    <row r="367" spans="1:15" ht="15">
      <c r="A367" s="173" t="s">
        <v>1150</v>
      </c>
      <c r="B367" s="164" t="s">
        <v>1151</v>
      </c>
      <c r="C367" s="163" t="s">
        <v>1976</v>
      </c>
      <c r="D367" s="278">
        <f>LOOKUP(A367,'[4]PT OCT 2011'!$A$2:$A$730,'[4]PT OCT 2011'!$D$2:$D$730)</f>
        <v>1454.55</v>
      </c>
      <c r="E367" s="246">
        <v>360</v>
      </c>
      <c r="F367" s="218"/>
      <c r="G367" s="176"/>
      <c r="H367" s="94" t="s">
        <v>1185</v>
      </c>
      <c r="J367" s="155" t="s">
        <v>1244</v>
      </c>
      <c r="K367" s="15">
        <f>K368*E195</f>
        <v>25111.4325</v>
      </c>
      <c r="L367" s="15">
        <v>1</v>
      </c>
      <c r="O367" s="274" t="e">
        <f>D367/#REF!</f>
        <v>#REF!</v>
      </c>
    </row>
    <row r="368" spans="1:15" ht="15" hidden="1">
      <c r="A368" s="173" t="s">
        <v>1152</v>
      </c>
      <c r="B368" s="164" t="s">
        <v>1153</v>
      </c>
      <c r="C368" s="163" t="s">
        <v>347</v>
      </c>
      <c r="D368" s="278">
        <f>LOOKUP(A368,'[4]PT OCT 2011'!$A$2:$A$730,'[4]PT OCT 2011'!$D$2:$D$730)</f>
        <v>102152.38</v>
      </c>
      <c r="E368" s="246">
        <v>22000</v>
      </c>
      <c r="F368" s="218"/>
      <c r="G368" s="189"/>
      <c r="H368" s="94" t="s">
        <v>1186</v>
      </c>
      <c r="I368" s="96"/>
      <c r="K368" s="15">
        <f>45.98+54.45+93.17+1300.75+895.4+240.79+114.95+114.95+1143.45+(33.88*12)+26.62+78.65+119.79+54.45+592.9+(18.15*6)+118.58+114.95+237.16+774.4+1875.5</f>
        <v>8512.349999999999</v>
      </c>
      <c r="L368" s="15">
        <v>24</v>
      </c>
      <c r="O368" s="274" t="e">
        <f>D368/#REF!</f>
        <v>#REF!</v>
      </c>
    </row>
    <row r="369" spans="1:15" ht="15">
      <c r="A369" s="173" t="s">
        <v>1154</v>
      </c>
      <c r="B369" s="164" t="s">
        <v>1155</v>
      </c>
      <c r="C369" s="163" t="s">
        <v>2023</v>
      </c>
      <c r="D369" s="278">
        <f>LOOKUP(A369,'[4]PT OCT 2011'!$A$2:$A$730,'[4]PT OCT 2011'!$D$2:$D$730)</f>
        <v>159.2</v>
      </c>
      <c r="E369" s="246">
        <v>21.2767</v>
      </c>
      <c r="F369" s="218"/>
      <c r="G369" s="176"/>
      <c r="H369" s="94" t="s">
        <v>1187</v>
      </c>
      <c r="I369" s="131">
        <v>25725.46363</v>
      </c>
      <c r="K369" s="156">
        <f>180+200+450+3300+3200+650+300+500+4000+(75*12)+80+250+450+200+2000+(60*6)+300+350+750+2200+6000</f>
        <v>26620</v>
      </c>
      <c r="L369" s="15">
        <v>1</v>
      </c>
      <c r="O369" s="274" t="e">
        <f>D369/#REF!</f>
        <v>#REF!</v>
      </c>
    </row>
    <row r="370" spans="1:16" ht="15.75" hidden="1">
      <c r="A370" s="173" t="s">
        <v>1156</v>
      </c>
      <c r="B370" s="164" t="s">
        <v>1157</v>
      </c>
      <c r="C370" s="163" t="s">
        <v>2023</v>
      </c>
      <c r="D370" s="278">
        <f>LOOKUP(A370,'[4]PT OCT 2011'!$A$2:$A$730,'[4]PT OCT 2011'!$D$2:$D$730)</f>
        <v>241.78</v>
      </c>
      <c r="E370" s="246">
        <v>40</v>
      </c>
      <c r="F370" s="218"/>
      <c r="G370" s="176"/>
      <c r="H370" s="94" t="s">
        <v>1187</v>
      </c>
      <c r="K370" s="156">
        <f>147.62+174.24+296.45+3932.5+968+2722.5+943+774.4+367.84+496.1+4235+5929+(90.75*12)+84.7+242+387.2+193.6+2420+(72.6)+393.25+605+914.76+2154.75+6231.5</f>
        <v>35775.009999999995</v>
      </c>
      <c r="L370" s="15">
        <v>1</v>
      </c>
      <c r="O370" s="274" t="e">
        <f>D370/#REF!</f>
        <v>#REF!</v>
      </c>
      <c r="P370" s="89"/>
    </row>
    <row r="371" spans="1:16" ht="15.75">
      <c r="A371" s="173" t="s">
        <v>1518</v>
      </c>
      <c r="B371" s="164" t="s">
        <v>1157</v>
      </c>
      <c r="C371" s="163" t="s">
        <v>2023</v>
      </c>
      <c r="D371" s="278">
        <f>LOOKUP(A371,'[4]PT OCT 2011'!$A$2:$A$730,'[4]PT OCT 2011'!$D$2:$D$730)</f>
        <v>121</v>
      </c>
      <c r="E371" s="246"/>
      <c r="F371" s="218"/>
      <c r="G371" s="176"/>
      <c r="H371" s="94"/>
      <c r="K371" s="156"/>
      <c r="O371" s="274"/>
      <c r="P371" s="89"/>
    </row>
    <row r="372" spans="1:15" ht="15">
      <c r="A372" s="173" t="s">
        <v>1235</v>
      </c>
      <c r="B372" s="164" t="s">
        <v>1236</v>
      </c>
      <c r="C372" s="163" t="s">
        <v>2005</v>
      </c>
      <c r="D372" s="278">
        <f>LOOKUP(A372,'[4]PT OCT 2011'!$A$2:$A$730,'[4]PT OCT 2011'!$D$2:$D$730)</f>
        <v>9.26</v>
      </c>
      <c r="E372" s="246">
        <v>4.5</v>
      </c>
      <c r="F372" s="218"/>
      <c r="G372" s="176"/>
      <c r="H372" s="94" t="s">
        <v>1185</v>
      </c>
      <c r="K372" s="156"/>
      <c r="O372" s="274" t="e">
        <f>D372/#REF!</f>
        <v>#REF!</v>
      </c>
    </row>
    <row r="373" spans="1:15" ht="15">
      <c r="A373" s="173" t="s">
        <v>82</v>
      </c>
      <c r="B373" s="164" t="s">
        <v>83</v>
      </c>
      <c r="C373" s="163" t="s">
        <v>178</v>
      </c>
      <c r="D373" s="278">
        <f>LOOKUP(A373,'[4]PT OCT 2011'!$A$2:$A$730,'[4]PT OCT 2011'!$D$2:$D$730)</f>
        <v>39.2471</v>
      </c>
      <c r="E373" s="246">
        <v>9.9741</v>
      </c>
      <c r="F373" s="218"/>
      <c r="G373" s="176"/>
      <c r="H373" s="1" t="s">
        <v>1260</v>
      </c>
      <c r="K373" s="15">
        <f>K370/1.21</f>
        <v>29566.123966942145</v>
      </c>
      <c r="L373" s="15">
        <v>2</v>
      </c>
      <c r="O373" s="274" t="e">
        <f>D373/#REF!</f>
        <v>#REF!</v>
      </c>
    </row>
    <row r="374" spans="1:15" ht="15">
      <c r="A374" s="173" t="s">
        <v>84</v>
      </c>
      <c r="B374" s="164" t="s">
        <v>85</v>
      </c>
      <c r="C374" s="163" t="s">
        <v>178</v>
      </c>
      <c r="D374" s="278">
        <f>LOOKUP(A374,'[4]PT OCT 2011'!$A$2:$A$730,'[4]PT OCT 2011'!$D$2:$D$730)</f>
        <v>33.7974</v>
      </c>
      <c r="E374" s="246">
        <v>8.2142</v>
      </c>
      <c r="F374" s="218"/>
      <c r="G374" s="187"/>
      <c r="H374" s="1"/>
      <c r="L374" s="15">
        <v>2</v>
      </c>
      <c r="O374" s="274" t="e">
        <f>D374/#REF!</f>
        <v>#REF!</v>
      </c>
    </row>
    <row r="375" spans="1:15" ht="15">
      <c r="A375" s="173" t="s">
        <v>1401</v>
      </c>
      <c r="B375" s="164" t="s">
        <v>86</v>
      </c>
      <c r="C375" s="163" t="s">
        <v>178</v>
      </c>
      <c r="D375" s="278">
        <f>LOOKUP(A375,'[4]PT OCT 2011'!$A$2:$A$730,'[4]PT OCT 2011'!$D$2:$D$730)</f>
        <v>304.98</v>
      </c>
      <c r="E375" s="246">
        <v>43.11</v>
      </c>
      <c r="F375" s="218"/>
      <c r="G375" s="187"/>
      <c r="H375" s="1"/>
      <c r="L375" s="15">
        <v>1</v>
      </c>
      <c r="O375" s="274" t="e">
        <f>D375/#REF!</f>
        <v>#REF!</v>
      </c>
    </row>
    <row r="376" spans="1:15" ht="15">
      <c r="A376" s="173" t="s">
        <v>1709</v>
      </c>
      <c r="B376" s="164" t="s">
        <v>87</v>
      </c>
      <c r="C376" s="163" t="s">
        <v>178</v>
      </c>
      <c r="D376" s="278">
        <f>LOOKUP(A376,'[4]PT OCT 2011'!$A$2:$A$730,'[4]PT OCT 2011'!$D$2:$D$730)</f>
        <v>241.32</v>
      </c>
      <c r="E376" s="246">
        <v>38.36</v>
      </c>
      <c r="F376" s="218"/>
      <c r="G376" s="187"/>
      <c r="H376" s="1" t="s">
        <v>1188</v>
      </c>
      <c r="L376" s="15">
        <v>1</v>
      </c>
      <c r="O376" s="274" t="e">
        <f>D376/#REF!</f>
        <v>#REF!</v>
      </c>
    </row>
    <row r="377" spans="1:15" ht="15">
      <c r="A377" s="173" t="s">
        <v>2014</v>
      </c>
      <c r="B377" s="164" t="s">
        <v>2015</v>
      </c>
      <c r="C377" s="163" t="s">
        <v>178</v>
      </c>
      <c r="D377" s="278">
        <f>LOOKUP(A377,'[4]PT OCT 2011'!$A$2:$A$730,'[4]PT OCT 2011'!$D$2:$D$730)</f>
        <v>345.21</v>
      </c>
      <c r="E377" s="246">
        <v>50.8</v>
      </c>
      <c r="F377" s="218"/>
      <c r="G377" s="187"/>
      <c r="H377" s="1" t="s">
        <v>1188</v>
      </c>
      <c r="L377" s="15">
        <v>1</v>
      </c>
      <c r="O377" s="274" t="e">
        <f>D377/#REF!</f>
        <v>#REF!</v>
      </c>
    </row>
    <row r="378" spans="1:15" ht="15" hidden="1">
      <c r="A378" s="173" t="s">
        <v>1471</v>
      </c>
      <c r="B378" s="165" t="s">
        <v>1472</v>
      </c>
      <c r="C378" s="166" t="s">
        <v>178</v>
      </c>
      <c r="D378" s="278">
        <f>LOOKUP(A378,'[4]PT OCT 2011'!$A$2:$A$730,'[4]PT OCT 2011'!$D$2:$D$730)</f>
        <v>345.21</v>
      </c>
      <c r="E378" s="246">
        <v>8.17</v>
      </c>
      <c r="F378" s="222"/>
      <c r="G378" s="187"/>
      <c r="H378" s="1"/>
      <c r="O378" s="274" t="e">
        <f>D378/#REF!</f>
        <v>#REF!</v>
      </c>
    </row>
    <row r="379" spans="1:15" ht="15">
      <c r="A379" s="173" t="s">
        <v>1705</v>
      </c>
      <c r="B379" s="164" t="s">
        <v>2030</v>
      </c>
      <c r="C379" s="163" t="s">
        <v>1849</v>
      </c>
      <c r="D379" s="278">
        <f>LOOKUP(A379,'[4]PT OCT 2011'!$A$2:$A$730,'[4]PT OCT 2011'!$D$2:$D$730)</f>
        <v>12.2433</v>
      </c>
      <c r="E379" s="246">
        <v>4.24</v>
      </c>
      <c r="F379" s="218"/>
      <c r="G379" s="187"/>
      <c r="H379" s="1" t="s">
        <v>1259</v>
      </c>
      <c r="L379" s="15">
        <v>2</v>
      </c>
      <c r="O379" s="274" t="e">
        <f>D379/#REF!</f>
        <v>#REF!</v>
      </c>
    </row>
    <row r="380" spans="1:15" ht="15">
      <c r="A380" s="173" t="s">
        <v>1927</v>
      </c>
      <c r="B380" s="164" t="s">
        <v>2011</v>
      </c>
      <c r="C380" s="163" t="s">
        <v>1849</v>
      </c>
      <c r="D380" s="278">
        <f>LOOKUP(A380,'[4]PT OCT 2011'!$A$2:$A$730,'[4]PT OCT 2011'!$D$2:$D$730)</f>
        <v>30.1055</v>
      </c>
      <c r="E380" s="246">
        <v>5.9076</v>
      </c>
      <c r="F380" s="218"/>
      <c r="G380" s="187"/>
      <c r="H380" s="1"/>
      <c r="L380" s="15">
        <v>2</v>
      </c>
      <c r="O380" s="274" t="e">
        <f>D380/#REF!</f>
        <v>#REF!</v>
      </c>
    </row>
    <row r="381" spans="1:15" ht="15">
      <c r="A381" s="173" t="s">
        <v>1711</v>
      </c>
      <c r="B381" s="164" t="s">
        <v>2010</v>
      </c>
      <c r="C381" s="163" t="s">
        <v>1849</v>
      </c>
      <c r="D381" s="278">
        <f>LOOKUP(A381,'[4]PT OCT 2011'!$A$2:$A$730,'[4]PT OCT 2011'!$D$2:$D$730)</f>
        <v>35.9669</v>
      </c>
      <c r="E381" s="246">
        <v>6.8149</v>
      </c>
      <c r="F381" s="218"/>
      <c r="G381" s="187"/>
      <c r="H381" s="1" t="s">
        <v>1189</v>
      </c>
      <c r="L381" s="15">
        <v>2</v>
      </c>
      <c r="O381" s="274" t="e">
        <f>D381/#REF!</f>
        <v>#REF!</v>
      </c>
    </row>
    <row r="382" spans="1:15" ht="15">
      <c r="A382" s="173" t="s">
        <v>1704</v>
      </c>
      <c r="B382" s="164" t="s">
        <v>2038</v>
      </c>
      <c r="C382" s="163" t="s">
        <v>178</v>
      </c>
      <c r="D382" s="278">
        <f>LOOKUP(A382,'[4]PT OCT 2011'!$A$2:$A$730,'[4]PT OCT 2011'!$D$2:$D$730)</f>
        <v>1.835</v>
      </c>
      <c r="E382" s="259">
        <v>0.63</v>
      </c>
      <c r="F382" s="218"/>
      <c r="G382" s="187"/>
      <c r="H382" s="1"/>
      <c r="L382" s="15">
        <v>2</v>
      </c>
      <c r="O382" s="274" t="e">
        <f>D382/#REF!</f>
        <v>#REF!</v>
      </c>
    </row>
    <row r="383" spans="1:15" ht="15">
      <c r="A383" s="173" t="s">
        <v>1843</v>
      </c>
      <c r="B383" s="164" t="s">
        <v>2036</v>
      </c>
      <c r="C383" s="163" t="s">
        <v>178</v>
      </c>
      <c r="D383" s="278">
        <f>LOOKUP(A383,'[4]PT OCT 2011'!$A$2:$A$730,'[4]PT OCT 2011'!$D$2:$D$730)</f>
        <v>7.015</v>
      </c>
      <c r="E383" s="259">
        <v>0.89</v>
      </c>
      <c r="F383" s="218"/>
      <c r="G383" s="187"/>
      <c r="H383" s="1"/>
      <c r="L383" s="15">
        <v>2</v>
      </c>
      <c r="O383" s="274" t="e">
        <f>D383/#REF!</f>
        <v>#REF!</v>
      </c>
    </row>
    <row r="384" spans="1:15" ht="15">
      <c r="A384" s="173" t="s">
        <v>80</v>
      </c>
      <c r="B384" s="164" t="s">
        <v>81</v>
      </c>
      <c r="C384" s="163" t="s">
        <v>178</v>
      </c>
      <c r="D384" s="278">
        <f>LOOKUP(A384,'[4]PT OCT 2011'!$A$2:$A$730,'[4]PT OCT 2011'!$D$2:$D$730)</f>
        <v>106.115</v>
      </c>
      <c r="E384" s="246">
        <v>11.28</v>
      </c>
      <c r="F384" s="218"/>
      <c r="G384" s="187"/>
      <c r="H384" s="1"/>
      <c r="L384" s="15">
        <v>2</v>
      </c>
      <c r="O384" s="274" t="e">
        <f>D384/#REF!</f>
        <v>#REF!</v>
      </c>
    </row>
    <row r="385" spans="1:15" ht="15">
      <c r="A385" s="173" t="s">
        <v>2012</v>
      </c>
      <c r="B385" s="164" t="s">
        <v>2013</v>
      </c>
      <c r="C385" s="163" t="s">
        <v>178</v>
      </c>
      <c r="D385" s="278">
        <f>LOOKUP(A385,'[4]PT OCT 2011'!$A$2:$A$730,'[4]PT OCT 2011'!$D$2:$D$730)</f>
        <v>29.95</v>
      </c>
      <c r="E385" s="246">
        <v>10.75</v>
      </c>
      <c r="F385" s="218"/>
      <c r="G385" s="187"/>
      <c r="H385" s="1"/>
      <c r="L385" s="15">
        <v>1</v>
      </c>
      <c r="O385" s="274" t="e">
        <f>D385/#REF!</f>
        <v>#REF!</v>
      </c>
    </row>
    <row r="386" spans="1:15" ht="15">
      <c r="A386" s="173" t="s">
        <v>1475</v>
      </c>
      <c r="B386" s="165" t="s">
        <v>1477</v>
      </c>
      <c r="C386" s="166" t="s">
        <v>178</v>
      </c>
      <c r="D386" s="278">
        <f>LOOKUP(A386,'[4]PT OCT 2011'!$A$2:$A$730,'[4]PT OCT 2011'!$D$2:$D$730)</f>
        <v>0.735</v>
      </c>
      <c r="E386" s="246">
        <v>0.2755</v>
      </c>
      <c r="F386" s="223"/>
      <c r="G386" s="187"/>
      <c r="H386" s="1"/>
      <c r="O386" s="274" t="e">
        <f>D386/#REF!</f>
        <v>#REF!</v>
      </c>
    </row>
    <row r="387" spans="1:15" ht="15">
      <c r="A387" s="173" t="s">
        <v>1476</v>
      </c>
      <c r="B387" s="358" t="s">
        <v>1478</v>
      </c>
      <c r="C387" s="166" t="s">
        <v>178</v>
      </c>
      <c r="D387" s="278">
        <f>LOOKUP(A387,'[4]PT OCT 2011'!$A$2:$A$730,'[4]PT OCT 2011'!$D$2:$D$730)</f>
        <v>0.81</v>
      </c>
      <c r="E387" s="246">
        <v>0.2937</v>
      </c>
      <c r="F387" s="224"/>
      <c r="G387" s="187"/>
      <c r="H387" s="1"/>
      <c r="O387" s="274" t="e">
        <f>D387/#REF!</f>
        <v>#REF!</v>
      </c>
    </row>
    <row r="388" spans="1:15" ht="15">
      <c r="A388" s="173" t="s">
        <v>1814</v>
      </c>
      <c r="B388" s="164" t="s">
        <v>2031</v>
      </c>
      <c r="C388" s="163" t="s">
        <v>178</v>
      </c>
      <c r="D388" s="278">
        <f>LOOKUP(A388,'[4]PT OCT 2011'!$A$2:$A$730,'[4]PT OCT 2011'!$D$2:$D$730)</f>
        <v>2.44</v>
      </c>
      <c r="E388" s="246">
        <v>0.88</v>
      </c>
      <c r="F388" s="224"/>
      <c r="G388" s="187"/>
      <c r="H388" s="1"/>
      <c r="L388" s="15">
        <v>2</v>
      </c>
      <c r="O388" s="274" t="e">
        <f>D388/#REF!</f>
        <v>#REF!</v>
      </c>
    </row>
    <row r="389" spans="1:15" ht="15">
      <c r="A389" s="173" t="s">
        <v>1815</v>
      </c>
      <c r="B389" s="164" t="s">
        <v>2032</v>
      </c>
      <c r="C389" s="163" t="s">
        <v>178</v>
      </c>
      <c r="D389" s="278">
        <f>LOOKUP(A389,'[4]PT OCT 2011'!$A$2:$A$730,'[4]PT OCT 2011'!$D$2:$D$730)</f>
        <v>161.16</v>
      </c>
      <c r="E389" s="246">
        <v>47.7585</v>
      </c>
      <c r="F389" s="218"/>
      <c r="G389" s="187"/>
      <c r="H389" s="1"/>
      <c r="L389" s="15">
        <v>2</v>
      </c>
      <c r="O389" s="274" t="e">
        <f>D389/#REF!</f>
        <v>#REF!</v>
      </c>
    </row>
    <row r="390" spans="1:15" ht="15">
      <c r="A390" s="173" t="s">
        <v>1816</v>
      </c>
      <c r="B390" s="164" t="s">
        <v>2033</v>
      </c>
      <c r="C390" s="163" t="s">
        <v>178</v>
      </c>
      <c r="D390" s="278">
        <f>LOOKUP(A390,'[4]PT OCT 2011'!$A$2:$A$730,'[4]PT OCT 2011'!$D$2:$D$730)</f>
        <v>107.4333</v>
      </c>
      <c r="E390" s="246">
        <v>24.7108</v>
      </c>
      <c r="F390" s="221"/>
      <c r="G390" s="187"/>
      <c r="H390" s="15" t="s">
        <v>1265</v>
      </c>
      <c r="L390" s="15">
        <v>3</v>
      </c>
      <c r="O390" s="274" t="e">
        <f>D390/#REF!</f>
        <v>#REF!</v>
      </c>
    </row>
    <row r="391" spans="1:15" ht="15">
      <c r="A391" s="173" t="s">
        <v>1817</v>
      </c>
      <c r="B391" s="164" t="s">
        <v>2034</v>
      </c>
      <c r="C391" s="163" t="s">
        <v>1849</v>
      </c>
      <c r="D391" s="278">
        <f>LOOKUP(A391,'[4]PT OCT 2011'!$A$2:$A$730,'[4]PT OCT 2011'!$D$2:$D$730)</f>
        <v>18.4</v>
      </c>
      <c r="E391" s="246">
        <v>5.841</v>
      </c>
      <c r="F391" s="221"/>
      <c r="G391" s="187"/>
      <c r="H391" s="1"/>
      <c r="L391" s="15">
        <v>2</v>
      </c>
      <c r="O391" s="274" t="e">
        <f>D391/#REF!</f>
        <v>#REF!</v>
      </c>
    </row>
    <row r="392" spans="1:15" ht="15">
      <c r="A392" s="173" t="s">
        <v>1490</v>
      </c>
      <c r="B392" s="164" t="s">
        <v>1491</v>
      </c>
      <c r="C392" s="163" t="s">
        <v>178</v>
      </c>
      <c r="D392" s="278">
        <f>LOOKUP(A392,'[4]PT OCT 2011'!$A$2:$A$730,'[4]PT OCT 2011'!$D$2:$D$730)</f>
        <v>19.995</v>
      </c>
      <c r="E392" s="246">
        <v>6.71</v>
      </c>
      <c r="F392" s="221"/>
      <c r="G392" s="187"/>
      <c r="H392" s="1"/>
      <c r="O392" s="274" t="e">
        <f>D392/#REF!</f>
        <v>#REF!</v>
      </c>
    </row>
    <row r="393" spans="1:15" ht="15">
      <c r="A393" s="173" t="s">
        <v>164</v>
      </c>
      <c r="B393" s="164" t="s">
        <v>89</v>
      </c>
      <c r="C393" s="163" t="s">
        <v>178</v>
      </c>
      <c r="D393" s="278">
        <f>LOOKUP(A393,'[4]PT OCT 2011'!$A$2:$A$730,'[4]PT OCT 2011'!$D$2:$D$730)</f>
        <v>259.74</v>
      </c>
      <c r="E393" s="246">
        <v>89.85</v>
      </c>
      <c r="F393" s="221"/>
      <c r="G393" s="187"/>
      <c r="H393" s="1"/>
      <c r="L393" s="15">
        <v>2</v>
      </c>
      <c r="O393" s="274" t="e">
        <f>D393/#REF!</f>
        <v>#REF!</v>
      </c>
    </row>
    <row r="394" spans="1:15" ht="15">
      <c r="A394" s="173" t="s">
        <v>1708</v>
      </c>
      <c r="B394" s="164" t="s">
        <v>2018</v>
      </c>
      <c r="C394" s="163" t="s">
        <v>178</v>
      </c>
      <c r="D394" s="278">
        <f>LOOKUP(A394,'[4]PT OCT 2011'!$A$2:$A$730,'[4]PT OCT 2011'!$D$2:$D$730)</f>
        <v>502.18</v>
      </c>
      <c r="E394" s="246">
        <v>91.46</v>
      </c>
      <c r="F394" s="221"/>
      <c r="G394" s="203"/>
      <c r="H394" s="1" t="s">
        <v>1188</v>
      </c>
      <c r="L394" s="15">
        <v>1</v>
      </c>
      <c r="O394" s="274" t="e">
        <f>D394/#REF!</f>
        <v>#REF!</v>
      </c>
    </row>
    <row r="395" spans="1:15" ht="15">
      <c r="A395" s="173" t="s">
        <v>1706</v>
      </c>
      <c r="B395" s="164" t="s">
        <v>2016</v>
      </c>
      <c r="C395" s="163" t="s">
        <v>178</v>
      </c>
      <c r="D395" s="278">
        <f>LOOKUP(A395,'[4]PT OCT 2011'!$A$2:$A$730,'[4]PT OCT 2011'!$D$2:$D$730)</f>
        <v>36.67</v>
      </c>
      <c r="E395" s="259">
        <v>7.24</v>
      </c>
      <c r="F395" s="221"/>
      <c r="G395" s="187"/>
      <c r="H395" s="1"/>
      <c r="L395" s="15">
        <v>2</v>
      </c>
      <c r="O395" s="274" t="e">
        <f>D395/#REF!</f>
        <v>#REF!</v>
      </c>
    </row>
    <row r="396" spans="1:15" ht="15">
      <c r="A396" s="173" t="s">
        <v>1833</v>
      </c>
      <c r="B396" s="164" t="s">
        <v>2017</v>
      </c>
      <c r="C396" s="163" t="s">
        <v>178</v>
      </c>
      <c r="D396" s="278">
        <f>LOOKUP(A396,'[4]PT OCT 2011'!$A$2:$A$730,'[4]PT OCT 2011'!$D$2:$D$730)</f>
        <v>40.17</v>
      </c>
      <c r="E396" s="259">
        <v>7.81</v>
      </c>
      <c r="F396" s="221"/>
      <c r="G396" s="187"/>
      <c r="H396" s="1"/>
      <c r="L396" s="15">
        <v>2</v>
      </c>
      <c r="O396" s="274" t="e">
        <f>D396/#REF!</f>
        <v>#REF!</v>
      </c>
    </row>
    <row r="397" spans="1:15" ht="15">
      <c r="A397" s="173" t="s">
        <v>1473</v>
      </c>
      <c r="B397" s="165" t="s">
        <v>1474</v>
      </c>
      <c r="C397" s="166" t="s">
        <v>178</v>
      </c>
      <c r="D397" s="278">
        <f>LOOKUP(A397,'[4]PT OCT 2011'!$A$2:$A$730,'[4]PT OCT 2011'!$D$2:$D$730)</f>
        <v>36.855</v>
      </c>
      <c r="E397" s="259">
        <v>7.58</v>
      </c>
      <c r="F397" s="218"/>
      <c r="G397" s="187"/>
      <c r="H397" s="1"/>
      <c r="O397" s="274" t="e">
        <f>D397/#REF!</f>
        <v>#REF!</v>
      </c>
    </row>
    <row r="398" spans="1:15" ht="15">
      <c r="A398" s="173" t="s">
        <v>1333</v>
      </c>
      <c r="B398" s="165" t="s">
        <v>1489</v>
      </c>
      <c r="C398" s="166" t="s">
        <v>178</v>
      </c>
      <c r="D398" s="278">
        <f>LOOKUP(A398,'[4]PT OCT 2011'!$A$2:$A$730,'[4]PT OCT 2011'!$D$2:$D$730)</f>
        <v>39.705</v>
      </c>
      <c r="E398" s="259">
        <v>15.07</v>
      </c>
      <c r="F398" s="218"/>
      <c r="G398" s="187"/>
      <c r="H398" s="1"/>
      <c r="O398" s="274" t="e">
        <f>D398/#REF!</f>
        <v>#REF!</v>
      </c>
    </row>
    <row r="399" spans="1:15" ht="15">
      <c r="A399" s="173" t="s">
        <v>1408</v>
      </c>
      <c r="B399" s="367" t="s">
        <v>1051</v>
      </c>
      <c r="C399" s="166" t="s">
        <v>178</v>
      </c>
      <c r="D399" s="278">
        <f>LOOKUP(A399,'[4]PT OCT 2011'!$A$2:$A$730,'[4]PT OCT 2011'!$D$2:$D$730)</f>
        <v>553.62</v>
      </c>
      <c r="E399" s="259"/>
      <c r="F399" s="218"/>
      <c r="G399" s="187"/>
      <c r="H399" s="1"/>
      <c r="O399" s="274" t="e">
        <f>D399/#REF!</f>
        <v>#REF!</v>
      </c>
    </row>
    <row r="400" spans="1:15" ht="15">
      <c r="A400" s="173" t="s">
        <v>1710</v>
      </c>
      <c r="B400" s="164" t="s">
        <v>2008</v>
      </c>
      <c r="C400" s="163" t="s">
        <v>1976</v>
      </c>
      <c r="D400" s="278">
        <f>LOOKUP(A400,'[4]PT OCT 2011'!$A$2:$A$730,'[4]PT OCT 2011'!$D$2:$D$730)</f>
        <v>438.02</v>
      </c>
      <c r="E400" s="259">
        <v>110.68</v>
      </c>
      <c r="F400" s="221"/>
      <c r="G400" s="187"/>
      <c r="H400" s="1" t="s">
        <v>1190</v>
      </c>
      <c r="L400" s="15">
        <v>2</v>
      </c>
      <c r="O400" s="274" t="e">
        <f>D400/#REF!</f>
        <v>#REF!</v>
      </c>
    </row>
    <row r="401" spans="1:15" ht="15">
      <c r="A401" s="173" t="s">
        <v>387</v>
      </c>
      <c r="B401" s="164" t="s">
        <v>388</v>
      </c>
      <c r="C401" s="163" t="s">
        <v>1976</v>
      </c>
      <c r="D401" s="278">
        <f>LOOKUP(A401,'[4]PT OCT 2011'!$A$2:$A$730,'[4]PT OCT 2011'!$D$2:$D$730)</f>
        <v>719.01</v>
      </c>
      <c r="E401" s="259">
        <v>194.21</v>
      </c>
      <c r="F401" s="218"/>
      <c r="G401" s="187"/>
      <c r="H401" s="1" t="s">
        <v>1190</v>
      </c>
      <c r="L401" s="15">
        <v>1</v>
      </c>
      <c r="O401" s="274" t="e">
        <f>D401/#REF!</f>
        <v>#REF!</v>
      </c>
    </row>
    <row r="402" spans="1:15" ht="15">
      <c r="A402" s="173" t="s">
        <v>1928</v>
      </c>
      <c r="B402" s="164" t="s">
        <v>90</v>
      </c>
      <c r="C402" s="163" t="s">
        <v>178</v>
      </c>
      <c r="D402" s="278">
        <f>LOOKUP(A402,'[4]PT OCT 2011'!$A$2:$A$730,'[4]PT OCT 2011'!$D$2:$D$730)</f>
        <v>16.6967</v>
      </c>
      <c r="E402" s="259">
        <v>6.96</v>
      </c>
      <c r="F402" s="218"/>
      <c r="G402" s="187"/>
      <c r="H402" s="1"/>
      <c r="L402" s="15">
        <v>2</v>
      </c>
      <c r="O402" s="274" t="e">
        <f>D402/#REF!</f>
        <v>#REF!</v>
      </c>
    </row>
    <row r="403" spans="1:15" ht="15">
      <c r="A403" s="173" t="s">
        <v>1818</v>
      </c>
      <c r="B403" s="164" t="s">
        <v>2035</v>
      </c>
      <c r="C403" s="163" t="s">
        <v>178</v>
      </c>
      <c r="D403" s="278">
        <f>LOOKUP(A403,'[4]PT OCT 2011'!$A$2:$A$730,'[4]PT OCT 2011'!$D$2:$D$730)</f>
        <v>55.35</v>
      </c>
      <c r="E403" s="259">
        <v>11.8342</v>
      </c>
      <c r="F403" s="218"/>
      <c r="G403" s="187"/>
      <c r="H403" s="1"/>
      <c r="L403" s="15">
        <v>2</v>
      </c>
      <c r="O403" s="274" t="e">
        <f>D403/#REF!</f>
        <v>#REF!</v>
      </c>
    </row>
    <row r="404" spans="1:15" ht="15">
      <c r="A404" s="173" t="s">
        <v>1410</v>
      </c>
      <c r="B404" s="165" t="s">
        <v>1436</v>
      </c>
      <c r="C404" s="166" t="s">
        <v>178</v>
      </c>
      <c r="D404" s="278">
        <f>LOOKUP(A404,'[4]PT OCT 2011'!$A$2:$A$730,'[4]PT OCT 2011'!$D$2:$D$730)</f>
        <v>6.75</v>
      </c>
      <c r="E404" s="259">
        <v>0.95</v>
      </c>
      <c r="F404" s="218"/>
      <c r="G404" s="187"/>
      <c r="H404" s="1"/>
      <c r="O404" s="274" t="e">
        <f>D404/#REF!</f>
        <v>#REF!</v>
      </c>
    </row>
    <row r="405" spans="1:15" ht="15">
      <c r="A405" s="173" t="s">
        <v>1411</v>
      </c>
      <c r="B405" s="165" t="s">
        <v>1437</v>
      </c>
      <c r="C405" s="166" t="s">
        <v>178</v>
      </c>
      <c r="D405" s="278">
        <f>LOOKUP(A405,'[4]PT OCT 2011'!$A$2:$A$730,'[4]PT OCT 2011'!$D$2:$D$730)</f>
        <v>8.77</v>
      </c>
      <c r="E405" s="259">
        <v>1.28</v>
      </c>
      <c r="F405" s="218"/>
      <c r="G405" s="187"/>
      <c r="H405" s="1"/>
      <c r="O405" s="274" t="e">
        <f>D405/#REF!</f>
        <v>#REF!</v>
      </c>
    </row>
    <row r="406" spans="1:15" ht="15">
      <c r="A406" s="173" t="s">
        <v>1412</v>
      </c>
      <c r="B406" s="165" t="s">
        <v>1438</v>
      </c>
      <c r="C406" s="166" t="s">
        <v>178</v>
      </c>
      <c r="D406" s="278">
        <f>LOOKUP(A406,'[4]PT OCT 2011'!$A$2:$A$730,'[4]PT OCT 2011'!$D$2:$D$730)</f>
        <v>4.83</v>
      </c>
      <c r="E406" s="259">
        <v>0.7</v>
      </c>
      <c r="F406" s="218"/>
      <c r="G406" s="187"/>
      <c r="H406" s="1"/>
      <c r="O406" s="274" t="e">
        <f>D406/#REF!</f>
        <v>#REF!</v>
      </c>
    </row>
    <row r="407" spans="1:15" ht="15">
      <c r="A407" s="173" t="s">
        <v>1413</v>
      </c>
      <c r="B407" s="165" t="s">
        <v>1439</v>
      </c>
      <c r="C407" s="166" t="s">
        <v>178</v>
      </c>
      <c r="D407" s="278">
        <f>LOOKUP(A407,'[4]PT OCT 2011'!$A$2:$A$730,'[4]PT OCT 2011'!$D$2:$D$730)</f>
        <v>6.5</v>
      </c>
      <c r="E407" s="259">
        <v>1.13</v>
      </c>
      <c r="F407" s="218"/>
      <c r="G407" s="187"/>
      <c r="H407" s="1"/>
      <c r="O407" s="274" t="e">
        <f>D407/#REF!</f>
        <v>#REF!</v>
      </c>
    </row>
    <row r="408" spans="1:15" ht="15">
      <c r="A408" s="173" t="s">
        <v>1414</v>
      </c>
      <c r="B408" s="165" t="s">
        <v>1440</v>
      </c>
      <c r="C408" s="166" t="s">
        <v>178</v>
      </c>
      <c r="D408" s="278">
        <f>LOOKUP(A408,'[4]PT OCT 2011'!$A$2:$A$730,'[4]PT OCT 2011'!$D$2:$D$730)</f>
        <v>4.37</v>
      </c>
      <c r="E408" s="259">
        <v>0.51</v>
      </c>
      <c r="F408" s="218"/>
      <c r="G408" s="187"/>
      <c r="H408" s="1"/>
      <c r="O408" s="274" t="e">
        <f>D408/#REF!</f>
        <v>#REF!</v>
      </c>
    </row>
    <row r="409" spans="1:15" ht="15" hidden="1">
      <c r="A409" s="197" t="s">
        <v>1415</v>
      </c>
      <c r="B409" s="165" t="s">
        <v>1441</v>
      </c>
      <c r="C409" s="166" t="s">
        <v>178</v>
      </c>
      <c r="D409" s="278">
        <f>LOOKUP(A409,'[4]PT OCT 2011'!$A$2:$A$730,'[4]PT OCT 2011'!$D$2:$D$730)</f>
        <v>4.37</v>
      </c>
      <c r="E409" s="248">
        <f>E386</f>
        <v>0.2755</v>
      </c>
      <c r="F409" s="218"/>
      <c r="G409" s="187"/>
      <c r="H409" s="1"/>
      <c r="O409" s="274" t="e">
        <f>D409/#REF!</f>
        <v>#REF!</v>
      </c>
    </row>
    <row r="410" spans="1:15" ht="15" hidden="1">
      <c r="A410" s="197" t="s">
        <v>1416</v>
      </c>
      <c r="B410" s="165" t="s">
        <v>1442</v>
      </c>
      <c r="C410" s="166" t="s">
        <v>178</v>
      </c>
      <c r="D410" s="278">
        <f>LOOKUP(A410,'[4]PT OCT 2011'!$A$2:$A$730,'[4]PT OCT 2011'!$D$2:$D$730)</f>
        <v>4.37</v>
      </c>
      <c r="E410" s="248">
        <f>E387</f>
        <v>0.2937</v>
      </c>
      <c r="F410" s="218"/>
      <c r="G410" s="187"/>
      <c r="H410" s="1"/>
      <c r="O410" s="274" t="e">
        <f>D410/#REF!</f>
        <v>#REF!</v>
      </c>
    </row>
    <row r="411" spans="1:15" ht="15">
      <c r="A411" s="173" t="s">
        <v>1417</v>
      </c>
      <c r="B411" s="165" t="s">
        <v>1443</v>
      </c>
      <c r="C411" s="166" t="s">
        <v>178</v>
      </c>
      <c r="D411" s="278">
        <f>LOOKUP(A411,'[4]PT OCT 2011'!$A$2:$A$730,'[4]PT OCT 2011'!$D$2:$D$730)</f>
        <v>1.1</v>
      </c>
      <c r="E411" s="259">
        <v>0.43</v>
      </c>
      <c r="F411" s="218"/>
      <c r="G411" s="187"/>
      <c r="H411" s="1"/>
      <c r="O411" s="274" t="e">
        <f>D411/#REF!</f>
        <v>#REF!</v>
      </c>
    </row>
    <row r="412" spans="1:15" ht="15">
      <c r="A412" s="173" t="s">
        <v>1418</v>
      </c>
      <c r="B412" s="165" t="s">
        <v>1444</v>
      </c>
      <c r="C412" s="166" t="s">
        <v>178</v>
      </c>
      <c r="D412" s="278">
        <f>LOOKUP(A412,'[4]PT OCT 2011'!$A$2:$A$730,'[4]PT OCT 2011'!$D$2:$D$730)</f>
        <v>1.45</v>
      </c>
      <c r="E412" s="259">
        <v>0.57</v>
      </c>
      <c r="F412" s="218"/>
      <c r="G412" s="187"/>
      <c r="H412" s="1"/>
      <c r="O412" s="274" t="e">
        <f>D412/#REF!</f>
        <v>#REF!</v>
      </c>
    </row>
    <row r="413" spans="1:15" ht="15">
      <c r="A413" s="173" t="s">
        <v>1419</v>
      </c>
      <c r="B413" s="165" t="s">
        <v>1445</v>
      </c>
      <c r="C413" s="166" t="s">
        <v>178</v>
      </c>
      <c r="D413" s="278">
        <f>LOOKUP(A413,'[4]PT OCT 2011'!$A$2:$A$730,'[4]PT OCT 2011'!$D$2:$D$730)</f>
        <v>3.75</v>
      </c>
      <c r="E413" s="259">
        <v>1.34</v>
      </c>
      <c r="F413" s="218"/>
      <c r="G413" s="187"/>
      <c r="H413" s="1"/>
      <c r="O413" s="274" t="e">
        <f>D413/#REF!</f>
        <v>#REF!</v>
      </c>
    </row>
    <row r="414" spans="1:15" ht="15">
      <c r="A414" s="173" t="s">
        <v>1420</v>
      </c>
      <c r="B414" s="165" t="s">
        <v>1446</v>
      </c>
      <c r="C414" s="166" t="s">
        <v>178</v>
      </c>
      <c r="D414" s="278">
        <f>LOOKUP(A414,'[4]PT OCT 2011'!$A$2:$A$730,'[4]PT OCT 2011'!$D$2:$D$730)</f>
        <v>4.785</v>
      </c>
      <c r="E414" s="259">
        <v>1.7</v>
      </c>
      <c r="F414" s="218"/>
      <c r="G414" s="187"/>
      <c r="H414" s="1"/>
      <c r="O414" s="274" t="e">
        <f>D414/#REF!</f>
        <v>#REF!</v>
      </c>
    </row>
    <row r="415" spans="1:15" ht="15" hidden="1">
      <c r="A415" s="173" t="s">
        <v>1421</v>
      </c>
      <c r="B415" s="165" t="s">
        <v>1447</v>
      </c>
      <c r="C415" s="166" t="s">
        <v>178</v>
      </c>
      <c r="D415" s="278">
        <f>LOOKUP(A415,'[4]PT OCT 2011'!$A$2:$A$730,'[4]PT OCT 2011'!$D$2:$D$730)</f>
        <v>4.785</v>
      </c>
      <c r="E415" s="248">
        <f>E398</f>
        <v>15.07</v>
      </c>
      <c r="F415" s="218"/>
      <c r="G415" s="187"/>
      <c r="H415" s="1"/>
      <c r="O415" s="274" t="e">
        <f>D415/#REF!</f>
        <v>#REF!</v>
      </c>
    </row>
    <row r="416" spans="1:15" ht="15">
      <c r="A416" s="173" t="s">
        <v>1422</v>
      </c>
      <c r="B416" s="165" t="s">
        <v>1448</v>
      </c>
      <c r="C416" s="166" t="s">
        <v>178</v>
      </c>
      <c r="D416" s="278">
        <f>LOOKUP(A416,'[4]PT OCT 2011'!$A$2:$A$730,'[4]PT OCT 2011'!$D$2:$D$730)</f>
        <v>0.59</v>
      </c>
      <c r="E416" s="259">
        <v>0.23</v>
      </c>
      <c r="F416" s="218"/>
      <c r="G416" s="187"/>
      <c r="H416" s="1"/>
      <c r="O416" s="274" t="e">
        <f>D416/#REF!</f>
        <v>#REF!</v>
      </c>
    </row>
    <row r="417" spans="1:15" ht="15">
      <c r="A417" s="173" t="s">
        <v>1423</v>
      </c>
      <c r="B417" s="165" t="s">
        <v>1449</v>
      </c>
      <c r="C417" s="166" t="s">
        <v>178</v>
      </c>
      <c r="D417" s="278">
        <f>LOOKUP(A417,'[4]PT OCT 2011'!$A$2:$A$730,'[4]PT OCT 2011'!$D$2:$D$730)</f>
        <v>0.85</v>
      </c>
      <c r="E417" s="259">
        <v>0.34</v>
      </c>
      <c r="F417" s="218"/>
      <c r="G417" s="187"/>
      <c r="H417" s="1"/>
      <c r="O417" s="274" t="e">
        <f>D417/#REF!</f>
        <v>#REF!</v>
      </c>
    </row>
    <row r="418" spans="1:15" ht="15">
      <c r="A418" s="173" t="s">
        <v>1424</v>
      </c>
      <c r="B418" s="165" t="s">
        <v>1450</v>
      </c>
      <c r="C418" s="166" t="s">
        <v>178</v>
      </c>
      <c r="D418" s="278">
        <f>LOOKUP(A418,'[4]PT OCT 2011'!$A$2:$A$730,'[4]PT OCT 2011'!$D$2:$D$730)</f>
        <v>13.21</v>
      </c>
      <c r="E418" s="259">
        <v>4.63</v>
      </c>
      <c r="F418" s="218"/>
      <c r="G418" s="187"/>
      <c r="H418" s="1"/>
      <c r="O418" s="274" t="e">
        <f>D418/#REF!</f>
        <v>#REF!</v>
      </c>
    </row>
    <row r="419" spans="1:15" ht="15">
      <c r="A419" s="173" t="s">
        <v>1425</v>
      </c>
      <c r="B419" s="165" t="s">
        <v>1451</v>
      </c>
      <c r="C419" s="166" t="s">
        <v>178</v>
      </c>
      <c r="D419" s="278">
        <f>LOOKUP(A419,'[4]PT OCT 2011'!$A$2:$A$730,'[4]PT OCT 2011'!$D$2:$D$730)</f>
        <v>2.95</v>
      </c>
      <c r="E419" s="259">
        <v>1.14</v>
      </c>
      <c r="F419" s="218"/>
      <c r="G419" s="187"/>
      <c r="H419" s="1"/>
      <c r="O419" s="274" t="e">
        <f>D419/#REF!</f>
        <v>#REF!</v>
      </c>
    </row>
    <row r="420" spans="1:15" ht="15">
      <c r="A420" s="173" t="s">
        <v>1426</v>
      </c>
      <c r="B420" s="165" t="s">
        <v>1452</v>
      </c>
      <c r="C420" s="166" t="s">
        <v>178</v>
      </c>
      <c r="D420" s="278">
        <f>LOOKUP(A420,'[4]PT OCT 2011'!$A$2:$A$730,'[4]PT OCT 2011'!$D$2:$D$730)</f>
        <v>4.74</v>
      </c>
      <c r="E420" s="259">
        <v>1.82</v>
      </c>
      <c r="F420" s="218"/>
      <c r="G420" s="187"/>
      <c r="H420" s="1"/>
      <c r="O420" s="274" t="e">
        <f>D420/#REF!</f>
        <v>#REF!</v>
      </c>
    </row>
    <row r="421" spans="1:15" ht="15">
      <c r="A421" s="173" t="s">
        <v>1427</v>
      </c>
      <c r="B421" s="165" t="s">
        <v>1453</v>
      </c>
      <c r="C421" s="166" t="s">
        <v>178</v>
      </c>
      <c r="D421" s="278">
        <f>LOOKUP(A421,'[4]PT OCT 2011'!$A$2:$A$730,'[4]PT OCT 2011'!$D$2:$D$730)</f>
        <v>5.26</v>
      </c>
      <c r="E421" s="259">
        <v>2.04</v>
      </c>
      <c r="F421" s="218"/>
      <c r="G421" s="187"/>
      <c r="H421" s="1"/>
      <c r="O421" s="274" t="e">
        <f>D421/#REF!</f>
        <v>#REF!</v>
      </c>
    </row>
    <row r="422" spans="1:15" ht="15">
      <c r="A422" s="173" t="s">
        <v>1428</v>
      </c>
      <c r="B422" s="165" t="s">
        <v>1454</v>
      </c>
      <c r="C422" s="166" t="s">
        <v>178</v>
      </c>
      <c r="D422" s="278">
        <f>LOOKUP(A422,'[4]PT OCT 2011'!$A$2:$A$730,'[4]PT OCT 2011'!$D$2:$D$730)</f>
        <v>1.42</v>
      </c>
      <c r="E422" s="259">
        <v>0.55</v>
      </c>
      <c r="F422" s="218"/>
      <c r="G422" s="187"/>
      <c r="H422" s="1"/>
      <c r="O422" s="274" t="e">
        <f>D422/#REF!</f>
        <v>#REF!</v>
      </c>
    </row>
    <row r="423" spans="1:15" ht="15">
      <c r="A423" s="173" t="s">
        <v>1429</v>
      </c>
      <c r="B423" s="165" t="s">
        <v>1455</v>
      </c>
      <c r="C423" s="166" t="s">
        <v>178</v>
      </c>
      <c r="D423" s="278">
        <f>LOOKUP(A423,'[4]PT OCT 2011'!$A$2:$A$730,'[4]PT OCT 2011'!$D$2:$D$730)</f>
        <v>2.24</v>
      </c>
      <c r="E423" s="259">
        <v>0.86</v>
      </c>
      <c r="F423" s="218"/>
      <c r="G423" s="187"/>
      <c r="H423" s="1"/>
      <c r="O423" s="274" t="e">
        <f>D423/#REF!</f>
        <v>#REF!</v>
      </c>
    </row>
    <row r="424" spans="1:15" ht="15">
      <c r="A424" s="173" t="s">
        <v>1430</v>
      </c>
      <c r="B424" s="165" t="s">
        <v>1456</v>
      </c>
      <c r="C424" s="166" t="s">
        <v>178</v>
      </c>
      <c r="D424" s="278">
        <f>LOOKUP(A424,'[4]PT OCT 2011'!$A$2:$A$730,'[4]PT OCT 2011'!$D$2:$D$730)</f>
        <v>14.78</v>
      </c>
      <c r="E424" s="259">
        <v>7.34</v>
      </c>
      <c r="F424" s="218"/>
      <c r="G424" s="187"/>
      <c r="H424" s="1"/>
      <c r="O424" s="274" t="e">
        <f>D424/#REF!</f>
        <v>#REF!</v>
      </c>
    </row>
    <row r="425" spans="1:15" ht="15">
      <c r="A425" s="173" t="s">
        <v>1431</v>
      </c>
      <c r="B425" s="165" t="s">
        <v>1457</v>
      </c>
      <c r="C425" s="166" t="s">
        <v>178</v>
      </c>
      <c r="D425" s="278">
        <f>LOOKUP(A425,'[4]PT OCT 2011'!$A$2:$A$730,'[4]PT OCT 2011'!$D$2:$D$730)</f>
        <v>21.4</v>
      </c>
      <c r="E425" s="259">
        <v>10.14</v>
      </c>
      <c r="F425" s="218"/>
      <c r="G425" s="187"/>
      <c r="H425" s="1"/>
      <c r="O425" s="274" t="e">
        <f>D425/#REF!</f>
        <v>#REF!</v>
      </c>
    </row>
    <row r="426" spans="1:15" ht="15" hidden="1">
      <c r="A426" s="197" t="s">
        <v>1432</v>
      </c>
      <c r="B426" s="165" t="s">
        <v>1459</v>
      </c>
      <c r="C426" s="166" t="s">
        <v>178</v>
      </c>
      <c r="D426" s="278">
        <f>LOOKUP(A426,'[4]PT OCT 2011'!$A$2:$A$730,'[4]PT OCT 2011'!$D$2:$D$730)</f>
        <v>21.4</v>
      </c>
      <c r="E426" s="261">
        <f>E378</f>
        <v>8.17</v>
      </c>
      <c r="F426" s="222"/>
      <c r="G426" s="187"/>
      <c r="H426" s="1"/>
      <c r="O426" s="274" t="e">
        <f>D426/#REF!</f>
        <v>#REF!</v>
      </c>
    </row>
    <row r="427" spans="1:15" ht="15" hidden="1">
      <c r="A427" s="197" t="s">
        <v>1473</v>
      </c>
      <c r="B427" s="165" t="s">
        <v>1460</v>
      </c>
      <c r="C427" s="166" t="s">
        <v>178</v>
      </c>
      <c r="D427" s="278">
        <f>LOOKUP(A427,'[4]PT OCT 2011'!$A$2:$A$730,'[4]PT OCT 2011'!$D$2:$D$730)</f>
        <v>36.855</v>
      </c>
      <c r="E427" s="266">
        <f>E397</f>
        <v>7.58</v>
      </c>
      <c r="F427" s="218"/>
      <c r="G427" s="187"/>
      <c r="H427" s="1"/>
      <c r="O427" s="274" t="e">
        <f>D427/#REF!</f>
        <v>#REF!</v>
      </c>
    </row>
    <row r="428" spans="1:15" ht="15" hidden="1">
      <c r="A428" s="197" t="s">
        <v>1433</v>
      </c>
      <c r="B428" s="165" t="s">
        <v>1458</v>
      </c>
      <c r="C428" s="166" t="s">
        <v>178</v>
      </c>
      <c r="D428" s="278">
        <f>LOOKUP(A428,'[4]PT OCT 2011'!$A$2:$A$730,'[4]PT OCT 2011'!$D$2:$D$730)</f>
        <v>21.4</v>
      </c>
      <c r="E428" s="267">
        <v>7.62</v>
      </c>
      <c r="F428" s="218"/>
      <c r="G428" s="187"/>
      <c r="H428" s="1"/>
      <c r="O428" s="274" t="e">
        <f>D428/#REF!</f>
        <v>#REF!</v>
      </c>
    </row>
    <row r="429" spans="1:15" ht="15">
      <c r="A429" s="173" t="s">
        <v>1434</v>
      </c>
      <c r="B429" s="165" t="s">
        <v>1461</v>
      </c>
      <c r="C429" s="166" t="s">
        <v>178</v>
      </c>
      <c r="D429" s="278">
        <f>LOOKUP(A429,'[4]PT OCT 2011'!$A$2:$A$730,'[4]PT OCT 2011'!$D$2:$D$730)</f>
        <v>25.97</v>
      </c>
      <c r="E429" s="259">
        <v>5.23</v>
      </c>
      <c r="F429" s="218"/>
      <c r="G429" s="187"/>
      <c r="H429" s="1"/>
      <c r="O429" s="274" t="e">
        <f>D429/#REF!</f>
        <v>#REF!</v>
      </c>
    </row>
    <row r="430" spans="1:15" ht="15">
      <c r="A430" s="173" t="s">
        <v>1435</v>
      </c>
      <c r="B430" s="165" t="s">
        <v>1462</v>
      </c>
      <c r="C430" s="166" t="s">
        <v>178</v>
      </c>
      <c r="D430" s="278">
        <f>LOOKUP(A430,'[4]PT OCT 2011'!$A$2:$A$730,'[4]PT OCT 2011'!$D$2:$D$730)</f>
        <v>19.865</v>
      </c>
      <c r="E430" s="259">
        <v>5.83</v>
      </c>
      <c r="F430" s="218"/>
      <c r="G430" s="187"/>
      <c r="H430" s="1"/>
      <c r="O430" s="274" t="e">
        <f>D430/#REF!</f>
        <v>#REF!</v>
      </c>
    </row>
    <row r="431" spans="1:15" ht="15">
      <c r="A431" s="173" t="s">
        <v>1407</v>
      </c>
      <c r="B431" s="360" t="s">
        <v>1054</v>
      </c>
      <c r="C431" s="163" t="s">
        <v>1976</v>
      </c>
      <c r="D431" s="278">
        <f>LOOKUP(A431,'[4]PT OCT 2011'!$A$2:$A$730,'[4]PT OCT 2011'!$D$2:$D$730)</f>
        <v>29.755</v>
      </c>
      <c r="E431" s="259">
        <v>5.8182</v>
      </c>
      <c r="F431" s="221"/>
      <c r="G431" s="203"/>
      <c r="H431" s="1" t="s">
        <v>1278</v>
      </c>
      <c r="L431" s="15">
        <v>2</v>
      </c>
      <c r="O431" s="274" t="e">
        <f>D431/#REF!</f>
        <v>#REF!</v>
      </c>
    </row>
    <row r="432" spans="1:15" ht="15">
      <c r="A432" s="173" t="s">
        <v>1691</v>
      </c>
      <c r="B432" s="164" t="s">
        <v>2006</v>
      </c>
      <c r="C432" s="163" t="s">
        <v>1976</v>
      </c>
      <c r="D432" s="278">
        <f>LOOKUP(A432,'[4]PT OCT 2011'!$A$2:$A$730,'[4]PT OCT 2011'!$D$2:$D$730)</f>
        <v>38.02</v>
      </c>
      <c r="E432" s="259">
        <v>13.8843</v>
      </c>
      <c r="F432" s="218"/>
      <c r="G432" s="187"/>
      <c r="H432" s="1" t="s">
        <v>1250</v>
      </c>
      <c r="L432" s="15">
        <v>1</v>
      </c>
      <c r="O432" s="274" t="e">
        <f>D432/#REF!</f>
        <v>#REF!</v>
      </c>
    </row>
    <row r="433" spans="1:15" ht="15">
      <c r="A433" s="173" t="s">
        <v>1922</v>
      </c>
      <c r="B433" s="164" t="s">
        <v>2007</v>
      </c>
      <c r="C433" s="163" t="s">
        <v>1976</v>
      </c>
      <c r="D433" s="278">
        <f>LOOKUP(A433,'[4]PT OCT 2011'!$A$2:$A$730,'[4]PT OCT 2011'!$D$2:$D$730)</f>
        <v>54.55</v>
      </c>
      <c r="E433" s="259">
        <v>15.7025</v>
      </c>
      <c r="F433" s="218"/>
      <c r="G433" s="187"/>
      <c r="H433" s="1" t="s">
        <v>1250</v>
      </c>
      <c r="L433" s="15">
        <v>1</v>
      </c>
      <c r="O433" s="274" t="e">
        <f>D433/#REF!</f>
        <v>#REF!</v>
      </c>
    </row>
    <row r="434" spans="1:15" ht="15">
      <c r="A434" s="173" t="s">
        <v>1402</v>
      </c>
      <c r="B434" s="164" t="s">
        <v>91</v>
      </c>
      <c r="C434" s="365" t="s">
        <v>1976</v>
      </c>
      <c r="D434" s="278">
        <f>LOOKUP(A434,'[4]PT OCT 2011'!$A$2:$A$730,'[4]PT OCT 2011'!$D$2:$D$730)</f>
        <v>47.17</v>
      </c>
      <c r="E434" s="259">
        <v>11.23</v>
      </c>
      <c r="F434" s="218"/>
      <c r="G434" s="196"/>
      <c r="H434" s="1" t="s">
        <v>1255</v>
      </c>
      <c r="L434" s="15">
        <v>2</v>
      </c>
      <c r="O434" s="274" t="e">
        <f>D434/#REF!</f>
        <v>#REF!</v>
      </c>
    </row>
    <row r="435" spans="1:15" ht="15">
      <c r="A435" s="173" t="s">
        <v>1403</v>
      </c>
      <c r="B435" s="164" t="s">
        <v>92</v>
      </c>
      <c r="C435" s="163" t="s">
        <v>1976</v>
      </c>
      <c r="D435" s="278">
        <f>LOOKUP(A435,'[4]PT OCT 2011'!$A$2:$A$730,'[4]PT OCT 2011'!$D$2:$D$730)</f>
        <v>39.33</v>
      </c>
      <c r="E435" s="259">
        <v>11.2</v>
      </c>
      <c r="F435" s="221"/>
      <c r="G435" s="196"/>
      <c r="H435" s="133" t="s">
        <v>1255</v>
      </c>
      <c r="L435" s="15">
        <v>2</v>
      </c>
      <c r="O435" s="274" t="e">
        <f>D435/#REF!</f>
        <v>#REF!</v>
      </c>
    </row>
    <row r="436" spans="1:15" ht="15">
      <c r="A436" s="173" t="s">
        <v>93</v>
      </c>
      <c r="B436" s="164" t="s">
        <v>94</v>
      </c>
      <c r="C436" s="163" t="s">
        <v>178</v>
      </c>
      <c r="D436" s="278">
        <f>LOOKUP(A436,'[4]PT OCT 2011'!$A$2:$A$730,'[4]PT OCT 2011'!$D$2:$D$730)</f>
        <v>4.16</v>
      </c>
      <c r="E436" s="246">
        <v>0.62</v>
      </c>
      <c r="F436" s="218"/>
      <c r="G436" s="187"/>
      <c r="H436" s="1" t="s">
        <v>1253</v>
      </c>
      <c r="L436" s="15">
        <v>1</v>
      </c>
      <c r="O436" s="274" t="e">
        <f>D436/#REF!</f>
        <v>#REF!</v>
      </c>
    </row>
    <row r="437" spans="1:15" ht="15">
      <c r="A437" s="173" t="s">
        <v>1694</v>
      </c>
      <c r="B437" s="164" t="s">
        <v>1989</v>
      </c>
      <c r="C437" s="163" t="s">
        <v>178</v>
      </c>
      <c r="D437" s="278">
        <f>LOOKUP(A437,'[4]PT OCT 2011'!$A$2:$A$730,'[4]PT OCT 2011'!$D$2:$D$730)</f>
        <v>3.86</v>
      </c>
      <c r="E437" s="246">
        <v>0.79</v>
      </c>
      <c r="F437" s="218"/>
      <c r="G437" s="187"/>
      <c r="H437" s="1" t="s">
        <v>1253</v>
      </c>
      <c r="L437" s="15">
        <v>1</v>
      </c>
      <c r="O437" s="274" t="e">
        <f>D437/#REF!</f>
        <v>#REF!</v>
      </c>
    </row>
    <row r="438" spans="1:15" ht="15">
      <c r="A438" s="173" t="s">
        <v>95</v>
      </c>
      <c r="B438" s="164" t="s">
        <v>32</v>
      </c>
      <c r="C438" s="163" t="s">
        <v>1976</v>
      </c>
      <c r="D438" s="278">
        <f>LOOKUP(A438,'[4]PT OCT 2011'!$A$2:$A$730,'[4]PT OCT 2011'!$D$2:$D$730)</f>
        <v>83.8867</v>
      </c>
      <c r="E438" s="246">
        <v>32.1543</v>
      </c>
      <c r="F438" s="218"/>
      <c r="G438" s="187"/>
      <c r="H438" s="1" t="s">
        <v>1191</v>
      </c>
      <c r="L438" s="15">
        <v>3</v>
      </c>
      <c r="O438" s="274" t="e">
        <f>D438/#REF!</f>
        <v>#REF!</v>
      </c>
    </row>
    <row r="439" spans="1:15" ht="15">
      <c r="A439" s="173" t="s">
        <v>96</v>
      </c>
      <c r="B439" s="164" t="s">
        <v>97</v>
      </c>
      <c r="C439" s="163" t="s">
        <v>1976</v>
      </c>
      <c r="D439" s="278">
        <f>LOOKUP(A439,'[4]PT OCT 2011'!$A$2:$A$730,'[4]PT OCT 2011'!$D$2:$D$730)</f>
        <v>128.9267</v>
      </c>
      <c r="E439" s="246">
        <v>44.697</v>
      </c>
      <c r="F439" s="221"/>
      <c r="G439" s="187"/>
      <c r="H439" s="1"/>
      <c r="L439" s="15">
        <v>3</v>
      </c>
      <c r="O439" s="274" t="e">
        <f>D439/#REF!</f>
        <v>#REF!</v>
      </c>
    </row>
    <row r="440" spans="1:15" ht="15">
      <c r="A440" s="163" t="s">
        <v>1703</v>
      </c>
      <c r="B440" s="164" t="s">
        <v>2019</v>
      </c>
      <c r="C440" s="163" t="s">
        <v>1976</v>
      </c>
      <c r="D440" s="278">
        <f>LOOKUP(A440,'[4]PT OCT 2011'!$A$2:$A$730,'[4]PT OCT 2011'!$D$2:$D$730)</f>
        <v>70.0167</v>
      </c>
      <c r="E440" s="246">
        <v>23.7438</v>
      </c>
      <c r="F440" s="218"/>
      <c r="G440" s="187"/>
      <c r="H440" s="1"/>
      <c r="L440" s="15">
        <v>3</v>
      </c>
      <c r="O440" s="274" t="e">
        <f>D440/#REF!</f>
        <v>#REF!</v>
      </c>
    </row>
    <row r="441" spans="1:15" ht="15.75" thickBot="1">
      <c r="A441" s="163" t="s">
        <v>31</v>
      </c>
      <c r="B441" s="164" t="s">
        <v>98</v>
      </c>
      <c r="C441" s="163" t="s">
        <v>1976</v>
      </c>
      <c r="D441" s="278">
        <f>LOOKUP(A441,'[4]PT OCT 2011'!$A$2:$A$730,'[4]PT OCT 2011'!$D$2:$D$730)</f>
        <v>76.96</v>
      </c>
      <c r="E441" s="268">
        <v>39.13</v>
      </c>
      <c r="F441" s="225"/>
      <c r="G441" s="204"/>
      <c r="H441" s="1"/>
      <c r="L441" s="15">
        <v>3</v>
      </c>
      <c r="O441" s="274" t="e">
        <f>D441/#REF!</f>
        <v>#REF!</v>
      </c>
    </row>
    <row r="442" spans="4:15" ht="15" customHeight="1">
      <c r="D442" s="350"/>
      <c r="E442" s="276">
        <v>39.1322</v>
      </c>
      <c r="L442" s="15">
        <f>SUM(L6:L441)</f>
        <v>456</v>
      </c>
      <c r="O442" s="15" t="e">
        <f>D526/#REF!</f>
        <v>#REF!</v>
      </c>
    </row>
    <row r="443" ht="15">
      <c r="D443" s="350"/>
    </row>
    <row r="444" ht="15">
      <c r="D444" s="350"/>
    </row>
    <row r="445" ht="15">
      <c r="D445" s="350"/>
    </row>
    <row r="446" spans="1:7" s="89" customFormat="1" ht="15.75">
      <c r="A446" s="273" t="s">
        <v>1550</v>
      </c>
      <c r="B446" s="273"/>
      <c r="C446" s="273"/>
      <c r="D446" s="350"/>
      <c r="E446" s="289"/>
      <c r="F446" s="290"/>
      <c r="G446" s="291"/>
    </row>
    <row r="447" spans="1:4" ht="15">
      <c r="A447" s="288"/>
      <c r="B447" s="288"/>
      <c r="C447" s="288"/>
      <c r="D447" s="350"/>
    </row>
    <row r="448" spans="1:4" ht="28.5">
      <c r="A448" s="373" t="s">
        <v>1519</v>
      </c>
      <c r="B448" s="284" t="s">
        <v>1535</v>
      </c>
      <c r="C448" s="331" t="s">
        <v>178</v>
      </c>
      <c r="D448" s="278">
        <f>LOOKUP(A448,'[4]PT OCT 2011'!$A$2:$A$730,'[4]PT OCT 2011'!$D$2:$D$730)</f>
        <v>530590</v>
      </c>
    </row>
    <row r="449" spans="1:4" ht="28.5">
      <c r="A449" s="310" t="s">
        <v>1520</v>
      </c>
      <c r="B449" s="284" t="s">
        <v>1536</v>
      </c>
      <c r="C449" s="331" t="s">
        <v>178</v>
      </c>
      <c r="D449" s="278">
        <f>LOOKUP(A449,'[4]PT OCT 2011'!$A$2:$A$730,'[4]PT OCT 2011'!$D$2:$D$730)</f>
        <v>1234810</v>
      </c>
    </row>
    <row r="450" spans="1:4" ht="15">
      <c r="A450" s="310" t="s">
        <v>1521</v>
      </c>
      <c r="B450" s="284" t="s">
        <v>1537</v>
      </c>
      <c r="C450" s="331" t="s">
        <v>178</v>
      </c>
      <c r="D450" s="278">
        <f>LOOKUP(A450,'[4]PT OCT 2011'!$A$2:$A$730,'[4]PT OCT 2011'!$D$2:$D$730)</f>
        <v>1089310</v>
      </c>
    </row>
    <row r="451" spans="1:4" ht="15">
      <c r="A451" s="310" t="s">
        <v>1522</v>
      </c>
      <c r="B451" s="284" t="s">
        <v>1538</v>
      </c>
      <c r="C451" s="331" t="s">
        <v>178</v>
      </c>
      <c r="D451" s="278">
        <f>LOOKUP(A451,'[4]PT OCT 2011'!$A$2:$A$730,'[4]PT OCT 2011'!$D$2:$D$730)</f>
        <v>604205.93</v>
      </c>
    </row>
    <row r="452" spans="1:4" ht="15" customHeight="1">
      <c r="A452" s="310" t="s">
        <v>1523</v>
      </c>
      <c r="B452" s="284" t="s">
        <v>1539</v>
      </c>
      <c r="C452" s="331" t="s">
        <v>178</v>
      </c>
      <c r="D452" s="278">
        <f>LOOKUP(A452,'[4]PT OCT 2011'!$A$2:$A$730,'[4]PT OCT 2011'!$D$2:$D$730)</f>
        <v>2818335</v>
      </c>
    </row>
    <row r="453" spans="1:4" ht="28.5">
      <c r="A453" s="310" t="s">
        <v>1524</v>
      </c>
      <c r="B453" s="284" t="s">
        <v>1785</v>
      </c>
      <c r="C453" s="331" t="s">
        <v>178</v>
      </c>
      <c r="D453" s="278">
        <f>LOOKUP(A453,'[4]PT OCT 2011'!$A$2:$A$730,'[4]PT OCT 2011'!$D$2:$D$730)</f>
        <v>16509.4</v>
      </c>
    </row>
    <row r="454" spans="1:4" ht="15">
      <c r="A454" s="310" t="s">
        <v>1525</v>
      </c>
      <c r="B454" s="284" t="s">
        <v>1540</v>
      </c>
      <c r="C454" s="331" t="s">
        <v>178</v>
      </c>
      <c r="D454" s="278">
        <f>LOOKUP(A454,'[4]PT OCT 2011'!$A$2:$A$730,'[4]PT OCT 2011'!$D$2:$D$730)</f>
        <v>3613.25</v>
      </c>
    </row>
    <row r="455" spans="1:4" ht="28.5">
      <c r="A455" s="310" t="s">
        <v>1526</v>
      </c>
      <c r="B455" s="284" t="s">
        <v>1541</v>
      </c>
      <c r="C455" s="331" t="s">
        <v>178</v>
      </c>
      <c r="D455" s="278">
        <f>LOOKUP(A455,'[4]PT OCT 2011'!$A$2:$A$730,'[4]PT OCT 2011'!$D$2:$D$730)</f>
        <v>11785.5</v>
      </c>
    </row>
    <row r="456" spans="1:4" ht="15">
      <c r="A456" s="310" t="s">
        <v>1527</v>
      </c>
      <c r="B456" s="284" t="s">
        <v>1542</v>
      </c>
      <c r="C456" s="331" t="s">
        <v>178</v>
      </c>
      <c r="D456" s="278">
        <f>LOOKUP(A456,'[4]PT OCT 2011'!$A$2:$A$730,'[4]PT OCT 2011'!$D$2:$D$730)</f>
        <v>51099.6</v>
      </c>
    </row>
    <row r="457" spans="1:4" ht="15">
      <c r="A457" s="311" t="s">
        <v>1528</v>
      </c>
      <c r="B457" s="285" t="s">
        <v>1543</v>
      </c>
      <c r="C457" s="332" t="s">
        <v>178</v>
      </c>
      <c r="D457" s="278">
        <f>LOOKUP(A457,'[4]PT OCT 2011'!$A$2:$A$730,'[4]PT OCT 2011'!$D$2:$D$730)</f>
        <v>440115</v>
      </c>
    </row>
    <row r="458" spans="1:4" ht="28.5">
      <c r="A458" s="310" t="s">
        <v>1529</v>
      </c>
      <c r="B458" s="284" t="s">
        <v>1544</v>
      </c>
      <c r="C458" s="331" t="s">
        <v>178</v>
      </c>
      <c r="D458" s="278">
        <f>LOOKUP(A458,'[4]PT OCT 2011'!$A$2:$A$730,'[4]PT OCT 2011'!$D$2:$D$730)</f>
        <v>12149.25</v>
      </c>
    </row>
    <row r="459" spans="1:4" ht="15">
      <c r="A459" s="310" t="s">
        <v>1530</v>
      </c>
      <c r="B459" s="284" t="s">
        <v>1545</v>
      </c>
      <c r="C459" s="331" t="s">
        <v>178</v>
      </c>
      <c r="D459" s="278">
        <f>LOOKUP(A459,'[4]PT OCT 2011'!$A$2:$A$730,'[4]PT OCT 2011'!$D$2:$D$730)</f>
        <v>57000</v>
      </c>
    </row>
    <row r="460" spans="1:4" ht="28.5" hidden="1">
      <c r="A460" s="310" t="s">
        <v>1531</v>
      </c>
      <c r="B460" s="284" t="s">
        <v>1546</v>
      </c>
      <c r="C460" s="331" t="s">
        <v>178</v>
      </c>
      <c r="D460" s="278">
        <f>LOOKUP(A460,'[4]PT OCT 2011'!$A$2:$A$730,'[4]PT OCT 2011'!$D$2:$D$730)</f>
        <v>57000</v>
      </c>
    </row>
    <row r="461" spans="1:4" ht="15">
      <c r="A461" s="310" t="s">
        <v>1532</v>
      </c>
      <c r="B461" s="284" t="s">
        <v>1547</v>
      </c>
      <c r="C461" s="331" t="s">
        <v>178</v>
      </c>
      <c r="D461" s="278">
        <f>LOOKUP(A461,'[4]PT OCT 2011'!$A$2:$A$730,'[4]PT OCT 2011'!$D$2:$D$730)</f>
        <v>80000</v>
      </c>
    </row>
    <row r="462" spans="1:4" ht="15">
      <c r="A462" s="310" t="s">
        <v>1533</v>
      </c>
      <c r="B462" s="284" t="s">
        <v>1548</v>
      </c>
      <c r="C462" s="331" t="s">
        <v>178</v>
      </c>
      <c r="D462" s="278">
        <f>LOOKUP(A462,'[4]PT OCT 2011'!$A$2:$A$730,'[4]PT OCT 2011'!$D$2:$D$730)</f>
        <v>185000</v>
      </c>
    </row>
    <row r="463" spans="1:4" ht="15.75" thickBot="1">
      <c r="A463" s="312" t="s">
        <v>1534</v>
      </c>
      <c r="B463" s="287" t="s">
        <v>1549</v>
      </c>
      <c r="C463" s="333" t="s">
        <v>178</v>
      </c>
      <c r="D463" s="278">
        <f>LOOKUP(A463,'[4]PT OCT 2011'!$A$2:$A$730,'[4]PT OCT 2011'!$D$2:$D$730)</f>
        <v>125000</v>
      </c>
    </row>
    <row r="464" spans="1:4" ht="15">
      <c r="A464" s="281" t="s">
        <v>1019</v>
      </c>
      <c r="B464" s="282" t="s">
        <v>1555</v>
      </c>
      <c r="C464" s="330" t="s">
        <v>1849</v>
      </c>
      <c r="D464" s="278">
        <f>LOOKUP(A464,'[4]PT OCT 2011'!$A$2:$A$730,'[4]PT OCT 2011'!$D$2:$D$730)</f>
        <v>1004.02</v>
      </c>
    </row>
    <row r="465" spans="1:4" ht="15">
      <c r="A465" s="283" t="s">
        <v>1556</v>
      </c>
      <c r="B465" s="284" t="s">
        <v>1567</v>
      </c>
      <c r="C465" s="334" t="s">
        <v>178</v>
      </c>
      <c r="D465" s="278">
        <f>LOOKUP(A465,'[4]PT OCT 2011'!$A$2:$A$730,'[4]PT OCT 2011'!$D$2:$D$730)</f>
        <v>1719.46</v>
      </c>
    </row>
    <row r="466" spans="1:4" ht="15">
      <c r="A466" s="283" t="s">
        <v>1557</v>
      </c>
      <c r="B466" s="284" t="s">
        <v>1568</v>
      </c>
      <c r="C466" s="334" t="s">
        <v>178</v>
      </c>
      <c r="D466" s="278">
        <f>LOOKUP(A466,'[4]PT OCT 2011'!$A$2:$A$730,'[4]PT OCT 2011'!$D$2:$D$730)</f>
        <v>232.23</v>
      </c>
    </row>
    <row r="467" spans="1:4" ht="15">
      <c r="A467" s="283" t="s">
        <v>1558</v>
      </c>
      <c r="B467" s="284" t="s">
        <v>1569</v>
      </c>
      <c r="C467" s="334" t="s">
        <v>178</v>
      </c>
      <c r="D467" s="278">
        <f>LOOKUP(A467,'[4]PT OCT 2011'!$A$2:$A$730,'[4]PT OCT 2011'!$D$2:$D$730)</f>
        <v>222.31</v>
      </c>
    </row>
    <row r="468" spans="1:4" ht="15">
      <c r="A468" s="283" t="s">
        <v>1559</v>
      </c>
      <c r="B468" s="284" t="s">
        <v>1570</v>
      </c>
      <c r="C468" s="334" t="s">
        <v>178</v>
      </c>
      <c r="D468" s="278">
        <f>LOOKUP(A468,'[4]PT OCT 2011'!$A$2:$A$730,'[4]PT OCT 2011'!$D$2:$D$730)</f>
        <v>29.75</v>
      </c>
    </row>
    <row r="469" spans="1:4" ht="15">
      <c r="A469" s="283" t="s">
        <v>1560</v>
      </c>
      <c r="B469" s="284" t="s">
        <v>1571</v>
      </c>
      <c r="C469" s="334" t="s">
        <v>178</v>
      </c>
      <c r="D469" s="278">
        <f>LOOKUP(A469,'[4]PT OCT 2011'!$A$2:$A$730,'[4]PT OCT 2011'!$D$2:$D$730)</f>
        <v>93.39</v>
      </c>
    </row>
    <row r="470" spans="1:4" ht="15">
      <c r="A470" s="283" t="s">
        <v>1561</v>
      </c>
      <c r="B470" s="284" t="s">
        <v>1572</v>
      </c>
      <c r="C470" s="334" t="s">
        <v>178</v>
      </c>
      <c r="D470" s="278">
        <f>LOOKUP(A470,'[4]PT OCT 2011'!$A$2:$A$730,'[4]PT OCT 2011'!$D$2:$D$730)</f>
        <v>9.09</v>
      </c>
    </row>
    <row r="471" spans="1:4" ht="15">
      <c r="A471" s="283" t="s">
        <v>1562</v>
      </c>
      <c r="B471" s="284" t="s">
        <v>1573</v>
      </c>
      <c r="C471" s="334" t="s">
        <v>178</v>
      </c>
      <c r="D471" s="278">
        <f>LOOKUP(A471,'[4]PT OCT 2011'!$A$2:$A$730,'[4]PT OCT 2011'!$D$2:$D$730)</f>
        <v>48.76</v>
      </c>
    </row>
    <row r="472" spans="1:4" ht="15">
      <c r="A472" s="283" t="s">
        <v>1563</v>
      </c>
      <c r="B472" s="284" t="s">
        <v>1574</v>
      </c>
      <c r="C472" s="334" t="s">
        <v>178</v>
      </c>
      <c r="D472" s="278">
        <f>LOOKUP(A472,'[4]PT OCT 2011'!$A$2:$A$730,'[4]PT OCT 2011'!$D$2:$D$730)</f>
        <v>13.22</v>
      </c>
    </row>
    <row r="473" spans="1:4" ht="15">
      <c r="A473" s="283" t="s">
        <v>1564</v>
      </c>
      <c r="B473" s="284" t="s">
        <v>1575</v>
      </c>
      <c r="C473" s="334" t="s">
        <v>178</v>
      </c>
      <c r="D473" s="278">
        <f>LOOKUP(A473,'[4]PT OCT 2011'!$A$2:$A$730,'[4]PT OCT 2011'!$D$2:$D$730)</f>
        <v>326.45</v>
      </c>
    </row>
    <row r="474" spans="1:4" ht="15">
      <c r="A474" s="283" t="s">
        <v>1565</v>
      </c>
      <c r="B474" s="284" t="s">
        <v>1576</v>
      </c>
      <c r="C474" s="334" t="s">
        <v>178</v>
      </c>
      <c r="D474" s="278">
        <f>LOOKUP(A474,'[4]PT OCT 2011'!$A$2:$A$730,'[4]PT OCT 2011'!$D$2:$D$730)</f>
        <v>1128.1</v>
      </c>
    </row>
    <row r="475" spans="1:4" ht="15.75" thickBot="1">
      <c r="A475" s="286" t="s">
        <v>1566</v>
      </c>
      <c r="B475" s="287" t="s">
        <v>1577</v>
      </c>
      <c r="C475" s="335" t="s">
        <v>178</v>
      </c>
      <c r="D475" s="278">
        <f>LOOKUP(A475,'[4]PT OCT 2011'!$A$2:$A$730,'[4]PT OCT 2011'!$D$2:$D$730)</f>
        <v>1890.08</v>
      </c>
    </row>
    <row r="476" spans="1:4" ht="15" hidden="1">
      <c r="A476" s="319" t="s">
        <v>1594</v>
      </c>
      <c r="B476" s="320" t="s">
        <v>1501</v>
      </c>
      <c r="C476" s="336" t="s">
        <v>1849</v>
      </c>
      <c r="D476" s="278">
        <f>LOOKUP(A476,'[4]PT OCT 2011'!$A$2:$A$730,'[4]PT OCT 2011'!$D$2:$D$730)</f>
        <v>1.6519</v>
      </c>
    </row>
    <row r="477" spans="1:4" ht="15" hidden="1">
      <c r="A477" s="284" t="s">
        <v>1595</v>
      </c>
      <c r="B477" s="318" t="s">
        <v>1641</v>
      </c>
      <c r="C477" s="337" t="s">
        <v>178</v>
      </c>
      <c r="D477" s="278">
        <f>LOOKUP(A477,'[4]PT OCT 2011'!$A$2:$A$730,'[4]PT OCT 2011'!$D$2:$D$730)</f>
        <v>49.74</v>
      </c>
    </row>
    <row r="478" spans="1:4" ht="15" hidden="1">
      <c r="A478" s="284" t="s">
        <v>1596</v>
      </c>
      <c r="B478" s="318" t="s">
        <v>1642</v>
      </c>
      <c r="C478" s="337" t="s">
        <v>178</v>
      </c>
      <c r="D478" s="278">
        <f>LOOKUP(A478,'[4]PT OCT 2011'!$A$2:$A$730,'[4]PT OCT 2011'!$D$2:$D$730)</f>
        <v>89.825</v>
      </c>
    </row>
    <row r="479" spans="1:4" ht="15" hidden="1">
      <c r="A479" s="284" t="s">
        <v>1597</v>
      </c>
      <c r="B479" s="318" t="s">
        <v>1512</v>
      </c>
      <c r="C479" s="337" t="s">
        <v>1849</v>
      </c>
      <c r="D479" s="278">
        <f>LOOKUP(A479,'[4]PT OCT 2011'!$A$2:$A$730,'[4]PT OCT 2011'!$D$2:$D$730)</f>
        <v>4.2673</v>
      </c>
    </row>
    <row r="480" spans="1:4" ht="15" hidden="1">
      <c r="A480" s="284" t="s">
        <v>1598</v>
      </c>
      <c r="B480" s="318" t="s">
        <v>1643</v>
      </c>
      <c r="C480" s="337" t="s">
        <v>1849</v>
      </c>
      <c r="D480" s="278">
        <f>LOOKUP(A480,'[4]PT OCT 2011'!$A$2:$A$730,'[4]PT OCT 2011'!$D$2:$D$730)</f>
        <v>2.3933</v>
      </c>
    </row>
    <row r="481" spans="1:4" ht="15" hidden="1">
      <c r="A481" s="284" t="s">
        <v>1599</v>
      </c>
      <c r="B481" s="318" t="s">
        <v>1644</v>
      </c>
      <c r="C481" s="337" t="s">
        <v>1849</v>
      </c>
      <c r="D481" s="278">
        <f>LOOKUP(A481,'[4]PT OCT 2011'!$A$2:$A$730,'[4]PT OCT 2011'!$D$2:$D$730)</f>
        <v>10.59</v>
      </c>
    </row>
    <row r="482" spans="1:4" ht="15" hidden="1">
      <c r="A482" s="284" t="s">
        <v>1600</v>
      </c>
      <c r="B482" s="318" t="s">
        <v>1645</v>
      </c>
      <c r="C482" s="337" t="s">
        <v>1849</v>
      </c>
      <c r="D482" s="278">
        <f>LOOKUP(A482,'[4]PT OCT 2011'!$A$2:$A$730,'[4]PT OCT 2011'!$D$2:$D$730)</f>
        <v>21.695</v>
      </c>
    </row>
    <row r="483" spans="1:4" ht="15" hidden="1">
      <c r="A483" s="284" t="s">
        <v>1601</v>
      </c>
      <c r="B483" s="318" t="s">
        <v>1646</v>
      </c>
      <c r="C483" s="337" t="s">
        <v>1849</v>
      </c>
      <c r="D483" s="278">
        <f>LOOKUP(A483,'[4]PT OCT 2011'!$A$2:$A$730,'[4]PT OCT 2011'!$D$2:$D$730)</f>
        <v>1.505</v>
      </c>
    </row>
    <row r="484" spans="1:4" ht="15" hidden="1">
      <c r="A484" s="284" t="s">
        <v>1602</v>
      </c>
      <c r="B484" s="318" t="s">
        <v>1493</v>
      </c>
      <c r="C484" s="337" t="s">
        <v>178</v>
      </c>
      <c r="D484" s="278">
        <f>LOOKUP(A484,'[4]PT OCT 2011'!$A$2:$A$730,'[4]PT OCT 2011'!$D$2:$D$730)</f>
        <v>2.66</v>
      </c>
    </row>
    <row r="485" spans="1:4" ht="15" hidden="1">
      <c r="A485" s="284" t="s">
        <v>1603</v>
      </c>
      <c r="B485" s="318" t="s">
        <v>1492</v>
      </c>
      <c r="C485" s="337" t="s">
        <v>178</v>
      </c>
      <c r="D485" s="278">
        <f>LOOKUP(A485,'[4]PT OCT 2011'!$A$2:$A$730,'[4]PT OCT 2011'!$D$2:$D$730)</f>
        <v>1.31</v>
      </c>
    </row>
    <row r="486" spans="1:4" ht="15" hidden="1">
      <c r="A486" s="284" t="s">
        <v>1604</v>
      </c>
      <c r="B486" s="318" t="s">
        <v>1494</v>
      </c>
      <c r="C486" s="337" t="s">
        <v>178</v>
      </c>
      <c r="D486" s="278">
        <f>LOOKUP(A486,'[4]PT OCT 2011'!$A$2:$A$730,'[4]PT OCT 2011'!$D$2:$D$730)</f>
        <v>4.52</v>
      </c>
    </row>
    <row r="487" spans="1:4" ht="15" hidden="1">
      <c r="A487" s="284" t="s">
        <v>1605</v>
      </c>
      <c r="B487" s="318" t="s">
        <v>1647</v>
      </c>
      <c r="C487" s="337" t="s">
        <v>178</v>
      </c>
      <c r="D487" s="278">
        <f>LOOKUP(A487,'[4]PT OCT 2011'!$A$2:$A$730,'[4]PT OCT 2011'!$D$2:$D$730)</f>
        <v>2.66</v>
      </c>
    </row>
    <row r="488" spans="1:4" ht="15" hidden="1">
      <c r="A488" s="284" t="s">
        <v>1606</v>
      </c>
      <c r="B488" s="318" t="s">
        <v>1648</v>
      </c>
      <c r="C488" s="337" t="s">
        <v>178</v>
      </c>
      <c r="D488" s="278">
        <f>LOOKUP(A488,'[4]PT OCT 2011'!$A$2:$A$730,'[4]PT OCT 2011'!$D$2:$D$730)</f>
        <v>19.95</v>
      </c>
    </row>
    <row r="489" spans="1:4" ht="15" hidden="1">
      <c r="A489" s="284" t="s">
        <v>1607</v>
      </c>
      <c r="B489" s="318" t="s">
        <v>1649</v>
      </c>
      <c r="C489" s="337" t="s">
        <v>178</v>
      </c>
      <c r="D489" s="278">
        <f>LOOKUP(A489,'[4]PT OCT 2011'!$A$2:$A$730,'[4]PT OCT 2011'!$D$2:$D$730)</f>
        <v>26.21</v>
      </c>
    </row>
    <row r="490" spans="1:4" ht="15" hidden="1">
      <c r="A490" s="284" t="s">
        <v>1608</v>
      </c>
      <c r="B490" s="318" t="s">
        <v>1650</v>
      </c>
      <c r="C490" s="337" t="s">
        <v>178</v>
      </c>
      <c r="D490" s="278">
        <f>LOOKUP(A490,'[4]PT OCT 2011'!$A$2:$A$730,'[4]PT OCT 2011'!$D$2:$D$730)</f>
        <v>17.5967</v>
      </c>
    </row>
    <row r="491" spans="1:4" ht="15" hidden="1">
      <c r="A491" s="284" t="s">
        <v>1609</v>
      </c>
      <c r="B491" s="318" t="s">
        <v>1651</v>
      </c>
      <c r="C491" s="337" t="s">
        <v>178</v>
      </c>
      <c r="D491" s="278">
        <f>LOOKUP(A491,'[4]PT OCT 2011'!$A$2:$A$730,'[4]PT OCT 2011'!$D$2:$D$730)</f>
        <v>21.6167</v>
      </c>
    </row>
    <row r="492" spans="1:4" ht="15" hidden="1">
      <c r="A492" s="284" t="s">
        <v>1610</v>
      </c>
      <c r="B492" s="318" t="s">
        <v>1479</v>
      </c>
      <c r="C492" s="337" t="s">
        <v>178</v>
      </c>
      <c r="D492" s="278">
        <f>LOOKUP(A492,'[4]PT OCT 2011'!$A$2:$A$730,'[4]PT OCT 2011'!$D$2:$D$730)</f>
        <v>25.45</v>
      </c>
    </row>
    <row r="493" spans="1:4" ht="15" hidden="1">
      <c r="A493" s="284" t="s">
        <v>1611</v>
      </c>
      <c r="B493" s="318" t="s">
        <v>1652</v>
      </c>
      <c r="C493" s="337" t="s">
        <v>178</v>
      </c>
      <c r="D493" s="278">
        <f>LOOKUP(A493,'[4]PT OCT 2011'!$A$2:$A$730,'[4]PT OCT 2011'!$D$2:$D$730)</f>
        <v>3.025</v>
      </c>
    </row>
    <row r="494" spans="1:4" ht="15" hidden="1">
      <c r="A494" s="284" t="s">
        <v>1612</v>
      </c>
      <c r="B494" s="318" t="s">
        <v>1653</v>
      </c>
      <c r="C494" s="337" t="s">
        <v>178</v>
      </c>
      <c r="D494" s="278">
        <f>LOOKUP(A494,'[4]PT OCT 2011'!$A$2:$A$730,'[4]PT OCT 2011'!$D$2:$D$730)</f>
        <v>2.7</v>
      </c>
    </row>
    <row r="495" spans="1:4" ht="15" hidden="1">
      <c r="A495" s="284" t="s">
        <v>1613</v>
      </c>
      <c r="B495" s="318" t="s">
        <v>1654</v>
      </c>
      <c r="C495" s="337" t="s">
        <v>1849</v>
      </c>
      <c r="D495" s="278">
        <f>LOOKUP(A495,'[4]PT OCT 2011'!$A$2:$A$730,'[4]PT OCT 2011'!$D$2:$D$730)</f>
        <v>1.13</v>
      </c>
    </row>
    <row r="496" spans="1:4" ht="15" hidden="1">
      <c r="A496" s="284" t="s">
        <v>1614</v>
      </c>
      <c r="B496" s="318" t="s">
        <v>1655</v>
      </c>
      <c r="C496" s="337" t="s">
        <v>178</v>
      </c>
      <c r="D496" s="278">
        <f>LOOKUP(A496,'[4]PT OCT 2011'!$A$2:$A$730,'[4]PT OCT 2011'!$D$2:$D$730)</f>
        <v>17.3367</v>
      </c>
    </row>
    <row r="497" spans="1:4" ht="15" hidden="1">
      <c r="A497" s="284" t="s">
        <v>1615</v>
      </c>
      <c r="B497" s="318" t="s">
        <v>1656</v>
      </c>
      <c r="C497" s="337" t="s">
        <v>178</v>
      </c>
      <c r="D497" s="278">
        <f>LOOKUP(A497,'[4]PT OCT 2011'!$A$2:$A$730,'[4]PT OCT 2011'!$D$2:$D$730)</f>
        <v>33.425</v>
      </c>
    </row>
    <row r="498" spans="1:4" ht="15" hidden="1">
      <c r="A498" s="284" t="s">
        <v>1616</v>
      </c>
      <c r="B498" s="318" t="s">
        <v>1657</v>
      </c>
      <c r="C498" s="337" t="s">
        <v>178</v>
      </c>
      <c r="D498" s="278">
        <f>LOOKUP(A498,'[4]PT OCT 2011'!$A$2:$A$730,'[4]PT OCT 2011'!$D$2:$D$730)</f>
        <v>143.725</v>
      </c>
    </row>
    <row r="499" spans="1:4" ht="15" hidden="1">
      <c r="A499" s="284" t="s">
        <v>1617</v>
      </c>
      <c r="B499" s="318" t="s">
        <v>1658</v>
      </c>
      <c r="C499" s="337" t="s">
        <v>178</v>
      </c>
      <c r="D499" s="278">
        <f>LOOKUP(A499,'[4]PT OCT 2011'!$A$2:$A$730,'[4]PT OCT 2011'!$D$2:$D$730)</f>
        <v>49.44</v>
      </c>
    </row>
    <row r="500" spans="1:4" ht="15" hidden="1">
      <c r="A500" s="284" t="s">
        <v>1618</v>
      </c>
      <c r="B500" s="318" t="s">
        <v>1659</v>
      </c>
      <c r="C500" s="337" t="s">
        <v>178</v>
      </c>
      <c r="D500" s="278">
        <f>LOOKUP(A500,'[4]PT OCT 2011'!$A$2:$A$730,'[4]PT OCT 2011'!$D$2:$D$730)</f>
        <v>155.465</v>
      </c>
    </row>
    <row r="501" spans="1:4" ht="15" hidden="1">
      <c r="A501" s="284" t="s">
        <v>1619</v>
      </c>
      <c r="B501" s="318" t="s">
        <v>1660</v>
      </c>
      <c r="C501" s="337" t="s">
        <v>178</v>
      </c>
      <c r="D501" s="278">
        <f>LOOKUP(A501,'[4]PT OCT 2011'!$A$2:$A$730,'[4]PT OCT 2011'!$D$2:$D$730)</f>
        <v>281.33</v>
      </c>
    </row>
    <row r="502" spans="1:4" ht="15" hidden="1">
      <c r="A502" s="284" t="s">
        <v>1620</v>
      </c>
      <c r="B502" s="318" t="s">
        <v>1661</v>
      </c>
      <c r="C502" s="337" t="s">
        <v>178</v>
      </c>
      <c r="D502" s="278">
        <f>LOOKUP(A502,'[4]PT OCT 2011'!$A$2:$A$730,'[4]PT OCT 2011'!$D$2:$D$730)</f>
        <v>16.61</v>
      </c>
    </row>
    <row r="503" spans="1:4" ht="15" hidden="1">
      <c r="A503" s="284" t="s">
        <v>1621</v>
      </c>
      <c r="B503" s="318" t="s">
        <v>1662</v>
      </c>
      <c r="C503" s="337" t="s">
        <v>178</v>
      </c>
      <c r="D503" s="278">
        <f>LOOKUP(A503,'[4]PT OCT 2011'!$A$2:$A$730,'[4]PT OCT 2011'!$D$2:$D$730)</f>
        <v>15.705</v>
      </c>
    </row>
    <row r="504" spans="1:4" ht="15" hidden="1">
      <c r="A504" s="284" t="s">
        <v>1622</v>
      </c>
      <c r="B504" s="318" t="s">
        <v>1663</v>
      </c>
      <c r="C504" s="337" t="s">
        <v>178</v>
      </c>
      <c r="D504" s="278">
        <f>LOOKUP(A504,'[4]PT OCT 2011'!$A$2:$A$730,'[4]PT OCT 2011'!$D$2:$D$730)</f>
        <v>19.505</v>
      </c>
    </row>
    <row r="505" spans="1:4" ht="15" hidden="1">
      <c r="A505" s="284" t="s">
        <v>1623</v>
      </c>
      <c r="B505" s="318" t="s">
        <v>1664</v>
      </c>
      <c r="C505" s="337" t="s">
        <v>178</v>
      </c>
      <c r="D505" s="278">
        <f>LOOKUP(A505,'[4]PT OCT 2011'!$A$2:$A$730,'[4]PT OCT 2011'!$D$2:$D$730)</f>
        <v>213.825</v>
      </c>
    </row>
    <row r="506" spans="1:4" ht="15" hidden="1">
      <c r="A506" s="284" t="s">
        <v>1624</v>
      </c>
      <c r="B506" s="318" t="s">
        <v>1665</v>
      </c>
      <c r="C506" s="337" t="s">
        <v>178</v>
      </c>
      <c r="D506" s="278">
        <f>LOOKUP(A506,'[4]PT OCT 2011'!$A$2:$A$730,'[4]PT OCT 2011'!$D$2:$D$730)</f>
        <v>275.275</v>
      </c>
    </row>
    <row r="507" spans="1:4" ht="15" hidden="1">
      <c r="A507" s="284" t="s">
        <v>1625</v>
      </c>
      <c r="B507" s="318" t="s">
        <v>1666</v>
      </c>
      <c r="C507" s="337" t="s">
        <v>178</v>
      </c>
      <c r="D507" s="278">
        <f>LOOKUP(A507,'[4]PT OCT 2011'!$A$2:$A$730,'[4]PT OCT 2011'!$D$2:$D$730)</f>
        <v>45.235</v>
      </c>
    </row>
    <row r="508" spans="1:4" ht="15" hidden="1">
      <c r="A508" s="284" t="s">
        <v>1626</v>
      </c>
      <c r="B508" s="318" t="s">
        <v>1667</v>
      </c>
      <c r="C508" s="337" t="s">
        <v>178</v>
      </c>
      <c r="D508" s="278">
        <f>LOOKUP(A508,'[4]PT OCT 2011'!$A$2:$A$730,'[4]PT OCT 2011'!$D$2:$D$730)</f>
        <v>95.3</v>
      </c>
    </row>
    <row r="509" spans="1:4" ht="15" hidden="1">
      <c r="A509" s="284" t="s">
        <v>1627</v>
      </c>
      <c r="B509" s="318" t="s">
        <v>1668</v>
      </c>
      <c r="C509" s="337" t="s">
        <v>178</v>
      </c>
      <c r="D509" s="278">
        <f>LOOKUP(A509,'[4]PT OCT 2011'!$A$2:$A$730,'[4]PT OCT 2011'!$D$2:$D$730)</f>
        <v>84.86</v>
      </c>
    </row>
    <row r="510" spans="1:4" ht="15" hidden="1">
      <c r="A510" s="284" t="s">
        <v>1628</v>
      </c>
      <c r="B510" s="318" t="s">
        <v>1669</v>
      </c>
      <c r="C510" s="337" t="s">
        <v>178</v>
      </c>
      <c r="D510" s="278">
        <f>LOOKUP(A510,'[4]PT OCT 2011'!$A$2:$A$730,'[4]PT OCT 2011'!$D$2:$D$730)</f>
        <v>16.025</v>
      </c>
    </row>
    <row r="511" spans="1:4" ht="15" hidden="1">
      <c r="A511" s="284" t="s">
        <v>1629</v>
      </c>
      <c r="B511" s="318" t="s">
        <v>1670</v>
      </c>
      <c r="C511" s="337" t="s">
        <v>178</v>
      </c>
      <c r="D511" s="278">
        <f>LOOKUP(A511,'[4]PT OCT 2011'!$A$2:$A$730,'[4]PT OCT 2011'!$D$2:$D$730)</f>
        <v>15000</v>
      </c>
    </row>
    <row r="512" spans="1:4" ht="15" hidden="1">
      <c r="A512" s="284" t="s">
        <v>1630</v>
      </c>
      <c r="B512" s="318" t="s">
        <v>1671</v>
      </c>
      <c r="C512" s="337" t="s">
        <v>178</v>
      </c>
      <c r="D512" s="278">
        <f>LOOKUP(A512,'[4]PT OCT 2011'!$A$2:$A$730,'[4]PT OCT 2011'!$D$2:$D$730)</f>
        <v>5.895</v>
      </c>
    </row>
    <row r="513" spans="1:4" ht="15" hidden="1">
      <c r="A513" s="284" t="s">
        <v>1631</v>
      </c>
      <c r="B513" s="318" t="s">
        <v>1310</v>
      </c>
      <c r="C513" s="337" t="s">
        <v>178</v>
      </c>
      <c r="D513" s="278">
        <f>LOOKUP(A513,'[4]PT OCT 2011'!$A$2:$A$730,'[4]PT OCT 2011'!$D$2:$D$730)</f>
        <v>41.84</v>
      </c>
    </row>
    <row r="514" spans="1:4" ht="24" hidden="1">
      <c r="A514" s="284" t="s">
        <v>1632</v>
      </c>
      <c r="B514" s="318" t="s">
        <v>1672</v>
      </c>
      <c r="C514" s="337" t="s">
        <v>178</v>
      </c>
      <c r="D514" s="278">
        <f>LOOKUP(A514,'[4]PT OCT 2011'!$A$2:$A$730,'[4]PT OCT 2011'!$D$2:$D$730)</f>
        <v>137.69</v>
      </c>
    </row>
    <row r="515" spans="1:4" ht="15" hidden="1">
      <c r="A515" s="284" t="s">
        <v>1633</v>
      </c>
      <c r="B515" s="318" t="s">
        <v>1317</v>
      </c>
      <c r="C515" s="337" t="s">
        <v>178</v>
      </c>
      <c r="D515" s="278">
        <f>LOOKUP(A515,'[4]PT OCT 2011'!$A$2:$A$730,'[4]PT OCT 2011'!$D$2:$D$730)</f>
        <v>2.12</v>
      </c>
    </row>
    <row r="516" spans="1:4" ht="15" hidden="1">
      <c r="A516" s="284" t="s">
        <v>1634</v>
      </c>
      <c r="B516" s="318" t="s">
        <v>1318</v>
      </c>
      <c r="C516" s="337" t="s">
        <v>178</v>
      </c>
      <c r="D516" s="278">
        <f>LOOKUP(A516,'[4]PT OCT 2011'!$A$2:$A$730,'[4]PT OCT 2011'!$D$2:$D$730)</f>
        <v>9.14</v>
      </c>
    </row>
    <row r="517" spans="1:4" ht="15" hidden="1">
      <c r="A517" s="284" t="s">
        <v>1635</v>
      </c>
      <c r="B517" s="318" t="s">
        <v>1322</v>
      </c>
      <c r="C517" s="337" t="s">
        <v>178</v>
      </c>
      <c r="D517" s="278">
        <f>LOOKUP(A517,'[4]PT OCT 2011'!$A$2:$A$730,'[4]PT OCT 2011'!$D$2:$D$730)</f>
        <v>1.66</v>
      </c>
    </row>
    <row r="518" spans="1:4" ht="15" hidden="1">
      <c r="A518" s="284" t="s">
        <v>1636</v>
      </c>
      <c r="B518" s="318" t="s">
        <v>1673</v>
      </c>
      <c r="C518" s="337" t="s">
        <v>178</v>
      </c>
      <c r="D518" s="278">
        <f>LOOKUP(A518,'[4]PT OCT 2011'!$A$2:$A$730,'[4]PT OCT 2011'!$D$2:$D$730)</f>
        <v>4.26</v>
      </c>
    </row>
    <row r="519" spans="1:4" ht="15" hidden="1">
      <c r="A519" s="284" t="s">
        <v>1637</v>
      </c>
      <c r="B519" s="318" t="s">
        <v>1324</v>
      </c>
      <c r="C519" s="337" t="s">
        <v>178</v>
      </c>
      <c r="D519" s="278">
        <f>LOOKUP(A519,'[4]PT OCT 2011'!$A$2:$A$730,'[4]PT OCT 2011'!$D$2:$D$730)</f>
        <v>5.88</v>
      </c>
    </row>
    <row r="520" spans="1:4" ht="15" hidden="1">
      <c r="A520" s="284" t="s">
        <v>1638</v>
      </c>
      <c r="B520" s="318" t="s">
        <v>1326</v>
      </c>
      <c r="C520" s="337" t="s">
        <v>178</v>
      </c>
      <c r="D520" s="278">
        <f>LOOKUP(A520,'[4]PT OCT 2011'!$A$2:$A$730,'[4]PT OCT 2011'!$D$2:$D$730)</f>
        <v>1.19</v>
      </c>
    </row>
    <row r="521" spans="1:4" ht="15" hidden="1">
      <c r="A521" s="284" t="s">
        <v>1639</v>
      </c>
      <c r="B521" s="318" t="s">
        <v>1329</v>
      </c>
      <c r="C521" s="337" t="s">
        <v>178</v>
      </c>
      <c r="D521" s="278">
        <f>LOOKUP(A521,'[4]PT OCT 2011'!$A$2:$A$730,'[4]PT OCT 2011'!$D$2:$D$730)</f>
        <v>5.83</v>
      </c>
    </row>
    <row r="522" spans="1:4" ht="15" hidden="1">
      <c r="A522" s="284" t="s">
        <v>1640</v>
      </c>
      <c r="B522" s="318" t="s">
        <v>1674</v>
      </c>
      <c r="C522" s="337" t="s">
        <v>178</v>
      </c>
      <c r="D522" s="278">
        <f>LOOKUP(A522,'[4]PT OCT 2011'!$A$2:$A$730,'[4]PT OCT 2011'!$D$2:$D$730)</f>
        <v>2.69</v>
      </c>
    </row>
    <row r="523" spans="1:6" ht="15">
      <c r="A523" s="284" t="s">
        <v>315</v>
      </c>
      <c r="B523" s="328" t="s">
        <v>314</v>
      </c>
      <c r="C523" s="329" t="s">
        <v>178</v>
      </c>
      <c r="D523" s="278">
        <f>LOOKUP(A523,'[4]PT OCT 2011'!$A$2:$A$730,'[4]PT OCT 2011'!$D$2:$D$730)</f>
        <v>241740.98</v>
      </c>
      <c r="E523" s="327" t="s">
        <v>178</v>
      </c>
      <c r="F523" s="327" t="s">
        <v>315</v>
      </c>
    </row>
    <row r="524" spans="1:6" ht="15">
      <c r="A524" s="284" t="s">
        <v>317</v>
      </c>
      <c r="B524" s="328" t="s">
        <v>316</v>
      </c>
      <c r="C524" s="329" t="s">
        <v>178</v>
      </c>
      <c r="D524" s="278">
        <f>LOOKUP(A524,'[4]PT OCT 2011'!$A$2:$A$730,'[4]PT OCT 2011'!$D$2:$D$730)</f>
        <v>367387.5</v>
      </c>
      <c r="E524" s="327" t="s">
        <v>178</v>
      </c>
      <c r="F524" s="327" t="s">
        <v>317</v>
      </c>
    </row>
    <row r="525" spans="1:6" ht="15">
      <c r="A525" s="284" t="s">
        <v>319</v>
      </c>
      <c r="B525" s="328" t="s">
        <v>318</v>
      </c>
      <c r="C525" s="329" t="s">
        <v>178</v>
      </c>
      <c r="D525" s="278">
        <f>LOOKUP(A525,'[4]PT OCT 2011'!$A$2:$A$730,'[4]PT OCT 2011'!$D$2:$D$730)</f>
        <v>269417.5</v>
      </c>
      <c r="E525" s="327" t="s">
        <v>178</v>
      </c>
      <c r="F525" s="327" t="s">
        <v>319</v>
      </c>
    </row>
    <row r="526" spans="1:4" ht="15">
      <c r="A526" s="353" t="s">
        <v>1943</v>
      </c>
      <c r="B526" s="351" t="s">
        <v>1941</v>
      </c>
      <c r="C526" s="163" t="s">
        <v>178</v>
      </c>
      <c r="D526" s="278">
        <f>LOOKUP(A526,'[4]PT OCT 2011'!$A$2:$A$730,'[4]PT OCT 2011'!$D$2:$D$730)</f>
        <v>1526.79</v>
      </c>
    </row>
    <row r="527" spans="1:4" ht="15">
      <c r="A527" s="353" t="s">
        <v>1944</v>
      </c>
      <c r="B527" s="351" t="s">
        <v>1942</v>
      </c>
      <c r="C527" s="163" t="s">
        <v>178</v>
      </c>
      <c r="D527" s="278">
        <f>LOOKUP(A527,'[4]PT OCT 2011'!$A$2:$A$730,'[4]PT OCT 2011'!$D$2:$D$730)</f>
        <v>1716.08</v>
      </c>
    </row>
    <row r="528" spans="1:5" ht="15">
      <c r="A528" s="354" t="s">
        <v>1835</v>
      </c>
      <c r="B528" s="352" t="s">
        <v>1834</v>
      </c>
      <c r="C528" s="359" t="s">
        <v>1849</v>
      </c>
      <c r="D528" s="278">
        <f>LOOKUP(A528,'[4]PT OCT 2011'!$A$2:$A$730,'[4]PT OCT 2011'!$D$2:$D$730)</f>
        <v>1464.7</v>
      </c>
      <c r="E528" s="15"/>
    </row>
    <row r="529" spans="1:5" ht="15">
      <c r="A529" s="354" t="s">
        <v>1837</v>
      </c>
      <c r="B529" s="352" t="s">
        <v>1836</v>
      </c>
      <c r="C529" s="359" t="s">
        <v>1849</v>
      </c>
      <c r="D529" s="278">
        <f>LOOKUP(A529,'[4]PT OCT 2011'!$A$2:$A$730,'[4]PT OCT 2011'!$D$2:$D$730)</f>
        <v>1857.55</v>
      </c>
      <c r="E529" s="15"/>
    </row>
    <row r="530" spans="1:5" ht="15">
      <c r="A530" s="354" t="s">
        <v>1839</v>
      </c>
      <c r="B530" s="352" t="s">
        <v>1838</v>
      </c>
      <c r="C530" s="359" t="s">
        <v>1849</v>
      </c>
      <c r="D530" s="278">
        <f>LOOKUP(A530,'[4]PT OCT 2011'!$A$2:$A$730,'[4]PT OCT 2011'!$D$2:$D$730)</f>
        <v>1944.85</v>
      </c>
      <c r="E530" s="15"/>
    </row>
    <row r="531" spans="1:4" ht="15.75" thickBot="1">
      <c r="A531" s="362" t="s">
        <v>437</v>
      </c>
      <c r="B531" s="363" t="s">
        <v>438</v>
      </c>
      <c r="C531" s="364" t="s">
        <v>1849</v>
      </c>
      <c r="D531" s="278">
        <f>LOOKUP(A531,'[4]PT OCT 2011'!$A$2:$A$730,'[4]PT OCT 2011'!$D$2:$D$730)</f>
        <v>877.63</v>
      </c>
    </row>
    <row r="532" spans="1:4" ht="15">
      <c r="A532" s="361" t="s">
        <v>440</v>
      </c>
      <c r="B532" s="361" t="s">
        <v>441</v>
      </c>
      <c r="C532" s="366" t="s">
        <v>2005</v>
      </c>
      <c r="D532" s="278">
        <f>LOOKUP(A532,'[4]PT OCT 2011'!$A$2:$A$730,'[4]PT OCT 2011'!$D$2:$D$730)</f>
        <v>5.9633</v>
      </c>
    </row>
    <row r="533" spans="1:4" ht="15">
      <c r="A533" s="361" t="s">
        <v>442</v>
      </c>
      <c r="B533" s="361" t="s">
        <v>443</v>
      </c>
      <c r="C533" s="366" t="s">
        <v>2005</v>
      </c>
      <c r="D533" s="278">
        <f>LOOKUP(A533,'[4]PT OCT 2011'!$A$2:$A$730,'[4]PT OCT 2011'!$D$2:$D$730)</f>
        <v>5.7567</v>
      </c>
    </row>
    <row r="534" spans="1:4" ht="15">
      <c r="A534" s="361" t="s">
        <v>444</v>
      </c>
      <c r="B534" s="361" t="s">
        <v>445</v>
      </c>
      <c r="C534" s="366" t="s">
        <v>2005</v>
      </c>
      <c r="D534" s="278">
        <f>LOOKUP(A534,'[4]PT OCT 2011'!$A$2:$A$730,'[4]PT OCT 2011'!$D$2:$D$730)</f>
        <v>5.83</v>
      </c>
    </row>
    <row r="535" spans="1:4" ht="15">
      <c r="A535" s="361" t="s">
        <v>446</v>
      </c>
      <c r="B535" s="361" t="s">
        <v>447</v>
      </c>
      <c r="C535" s="366" t="s">
        <v>2005</v>
      </c>
      <c r="D535" s="278">
        <f>LOOKUP(A535,'[4]PT OCT 2011'!$A$2:$A$730,'[4]PT OCT 2011'!$D$2:$D$730)</f>
        <v>6.2467</v>
      </c>
    </row>
    <row r="536" spans="1:4" ht="15">
      <c r="A536" s="361" t="s">
        <v>448</v>
      </c>
      <c r="B536" s="361" t="s">
        <v>449</v>
      </c>
      <c r="C536" s="366" t="s">
        <v>2005</v>
      </c>
      <c r="D536" s="278">
        <f>LOOKUP(A536,'[4]PT OCT 2011'!$A$2:$A$730,'[4]PT OCT 2011'!$D$2:$D$730)</f>
        <v>6.15</v>
      </c>
    </row>
    <row r="537" spans="1:4" ht="15">
      <c r="A537" s="361" t="s">
        <v>450</v>
      </c>
      <c r="B537" s="361" t="s">
        <v>451</v>
      </c>
      <c r="C537" s="366" t="s">
        <v>2005</v>
      </c>
      <c r="D537" s="278">
        <f>LOOKUP(A537,'[4]PT OCT 2011'!$A$2:$A$730,'[4]PT OCT 2011'!$D$2:$D$730)</f>
        <v>6.1133</v>
      </c>
    </row>
    <row r="538" spans="1:4" ht="15">
      <c r="A538" s="361" t="s">
        <v>452</v>
      </c>
      <c r="B538" s="361" t="s">
        <v>453</v>
      </c>
      <c r="C538" s="366" t="s">
        <v>2005</v>
      </c>
      <c r="D538" s="278">
        <f>LOOKUP(A538,'[4]PT OCT 2011'!$A$2:$A$730,'[4]PT OCT 2011'!$D$2:$D$730)</f>
        <v>20.9733</v>
      </c>
    </row>
    <row r="539" spans="1:4" ht="15">
      <c r="A539" s="361" t="s">
        <v>454</v>
      </c>
      <c r="B539" s="361" t="s">
        <v>455</v>
      </c>
      <c r="C539" s="366" t="s">
        <v>2005</v>
      </c>
      <c r="D539" s="278">
        <f>LOOKUP(A539,'[4]PT OCT 2011'!$A$2:$A$730,'[4]PT OCT 2011'!$D$2:$D$730)</f>
        <v>8.26</v>
      </c>
    </row>
    <row r="540" spans="1:4" ht="15">
      <c r="A540" s="361" t="s">
        <v>456</v>
      </c>
      <c r="B540" s="361" t="s">
        <v>457</v>
      </c>
      <c r="C540" s="366" t="s">
        <v>2005</v>
      </c>
      <c r="D540" s="278">
        <f>LOOKUP(A540,'[4]PT OCT 2011'!$A$2:$A$730,'[4]PT OCT 2011'!$D$2:$D$730)</f>
        <v>19.04</v>
      </c>
    </row>
    <row r="541" spans="1:4" ht="15">
      <c r="A541" s="361" t="s">
        <v>458</v>
      </c>
      <c r="B541" s="361" t="s">
        <v>459</v>
      </c>
      <c r="C541" s="366" t="s">
        <v>2005</v>
      </c>
      <c r="D541" s="278">
        <f>LOOKUP(A541,'[4]PT OCT 2011'!$A$2:$A$730,'[4]PT OCT 2011'!$D$2:$D$730)</f>
        <v>7.3933</v>
      </c>
    </row>
    <row r="542" spans="1:4" ht="15">
      <c r="A542" s="361" t="s">
        <v>460</v>
      </c>
      <c r="B542" s="361" t="s">
        <v>461</v>
      </c>
      <c r="C542" s="366" t="s">
        <v>2005</v>
      </c>
      <c r="D542" s="278">
        <f>LOOKUP(A542,'[4]PT OCT 2011'!$A$2:$A$730,'[4]PT OCT 2011'!$D$2:$D$730)</f>
        <v>11.7567</v>
      </c>
    </row>
    <row r="543" spans="1:4" ht="15">
      <c r="A543" s="361" t="s">
        <v>462</v>
      </c>
      <c r="B543" s="361" t="s">
        <v>463</v>
      </c>
      <c r="C543" s="366" t="s">
        <v>1849</v>
      </c>
      <c r="D543" s="278">
        <f>LOOKUP(A543,'[4]PT OCT 2011'!$A$2:$A$730,'[4]PT OCT 2011'!$D$2:$D$730)</f>
        <v>33.805</v>
      </c>
    </row>
    <row r="544" spans="1:4" ht="15">
      <c r="A544" s="361" t="s">
        <v>464</v>
      </c>
      <c r="B544" s="361" t="s">
        <v>465</v>
      </c>
      <c r="C544" s="366" t="s">
        <v>178</v>
      </c>
      <c r="D544" s="278">
        <f>LOOKUP(A544,'[4]PT OCT 2011'!$A$2:$A$730,'[4]PT OCT 2011'!$D$2:$D$730)</f>
        <v>0.62</v>
      </c>
    </row>
    <row r="545" spans="1:4" ht="15">
      <c r="A545" s="361" t="s">
        <v>466</v>
      </c>
      <c r="B545" s="361" t="s">
        <v>467</v>
      </c>
      <c r="C545" s="366" t="s">
        <v>2005</v>
      </c>
      <c r="D545" s="278">
        <f>LOOKUP(A545,'[4]PT OCT 2011'!$A$2:$A$730,'[4]PT OCT 2011'!$D$2:$D$730)</f>
        <v>6.1333</v>
      </c>
    </row>
    <row r="546" spans="1:4" ht="15">
      <c r="A546" s="361" t="s">
        <v>468</v>
      </c>
      <c r="B546" s="361" t="s">
        <v>469</v>
      </c>
      <c r="C546" s="366" t="s">
        <v>2005</v>
      </c>
      <c r="D546" s="278">
        <f>LOOKUP(A546,'[4]PT OCT 2011'!$A$2:$A$730,'[4]PT OCT 2011'!$D$2:$D$730)</f>
        <v>6.12</v>
      </c>
    </row>
    <row r="547" spans="1:4" ht="15">
      <c r="A547" s="361" t="s">
        <v>470</v>
      </c>
      <c r="B547" s="361" t="s">
        <v>471</v>
      </c>
      <c r="C547" s="366" t="s">
        <v>472</v>
      </c>
      <c r="D547" s="278">
        <f>LOOKUP(A547,'[4]PT OCT 2011'!$A$2:$A$730,'[4]PT OCT 2011'!$D$2:$D$730)</f>
        <v>16.7833</v>
      </c>
    </row>
    <row r="548" spans="1:4" ht="15">
      <c r="A548" s="361" t="s">
        <v>473</v>
      </c>
      <c r="B548" s="361" t="s">
        <v>474</v>
      </c>
      <c r="C548" s="366" t="s">
        <v>472</v>
      </c>
      <c r="D548" s="278">
        <f>LOOKUP(A548,'[4]PT OCT 2011'!$A$2:$A$730,'[4]PT OCT 2011'!$D$2:$D$730)</f>
        <v>28.6333</v>
      </c>
    </row>
    <row r="549" spans="1:4" ht="15">
      <c r="A549" s="361" t="s">
        <v>475</v>
      </c>
      <c r="B549" s="361" t="s">
        <v>476</v>
      </c>
      <c r="C549" s="366" t="s">
        <v>472</v>
      </c>
      <c r="D549" s="278">
        <f>LOOKUP(A549,'[4]PT OCT 2011'!$A$2:$A$730,'[4]PT OCT 2011'!$D$2:$D$730)</f>
        <v>67.2133</v>
      </c>
    </row>
    <row r="550" spans="1:4" ht="15">
      <c r="A550" s="361" t="s">
        <v>477</v>
      </c>
      <c r="B550" s="361" t="s">
        <v>478</v>
      </c>
      <c r="C550" s="366" t="s">
        <v>472</v>
      </c>
      <c r="D550" s="278">
        <f>LOOKUP(A550,'[4]PT OCT 2011'!$A$2:$A$730,'[4]PT OCT 2011'!$D$2:$D$730)</f>
        <v>114.91</v>
      </c>
    </row>
    <row r="551" spans="1:4" ht="15">
      <c r="A551" s="361" t="s">
        <v>479</v>
      </c>
      <c r="B551" s="361" t="s">
        <v>480</v>
      </c>
      <c r="C551" s="366" t="s">
        <v>2005</v>
      </c>
      <c r="D551" s="278">
        <f>LOOKUP(A551,'[4]PT OCT 2011'!$A$2:$A$730,'[4]PT OCT 2011'!$D$2:$D$730)</f>
        <v>21.0267</v>
      </c>
    </row>
    <row r="552" spans="1:4" ht="15">
      <c r="A552" s="361" t="s">
        <v>481</v>
      </c>
      <c r="B552" s="361" t="s">
        <v>482</v>
      </c>
      <c r="C552" s="366" t="s">
        <v>2005</v>
      </c>
      <c r="D552" s="278">
        <f>LOOKUP(A552,'[4]PT OCT 2011'!$A$2:$A$730,'[4]PT OCT 2011'!$D$2:$D$730)</f>
        <v>30.7333</v>
      </c>
    </row>
    <row r="553" spans="1:4" ht="15">
      <c r="A553" s="361" t="s">
        <v>483</v>
      </c>
      <c r="B553" s="361" t="s">
        <v>484</v>
      </c>
      <c r="C553" s="366" t="s">
        <v>1849</v>
      </c>
      <c r="D553" s="278">
        <f>LOOKUP(A553,'[4]PT OCT 2011'!$A$2:$A$730,'[4]PT OCT 2011'!$D$2:$D$730)</f>
        <v>6.135</v>
      </c>
    </row>
    <row r="554" spans="1:4" ht="15">
      <c r="A554" s="361" t="s">
        <v>485</v>
      </c>
      <c r="B554" s="361" t="s">
        <v>486</v>
      </c>
      <c r="C554" s="366" t="s">
        <v>1849</v>
      </c>
      <c r="D554" s="278">
        <f>LOOKUP(A554,'[4]PT OCT 2011'!$A$2:$A$730,'[4]PT OCT 2011'!$D$2:$D$730)</f>
        <v>10.155</v>
      </c>
    </row>
    <row r="555" spans="1:4" ht="15">
      <c r="A555" s="361" t="s">
        <v>487</v>
      </c>
      <c r="B555" s="361" t="s">
        <v>488</v>
      </c>
      <c r="C555" s="366" t="s">
        <v>1849</v>
      </c>
      <c r="D555" s="278">
        <f>LOOKUP(A555,'[4]PT OCT 2011'!$A$2:$A$730,'[4]PT OCT 2011'!$D$2:$D$730)</f>
        <v>3.69</v>
      </c>
    </row>
    <row r="556" spans="1:4" ht="15">
      <c r="A556" s="361" t="s">
        <v>489</v>
      </c>
      <c r="B556" s="361" t="s">
        <v>490</v>
      </c>
      <c r="C556" s="366" t="s">
        <v>178</v>
      </c>
      <c r="D556" s="278">
        <f>LOOKUP(A556,'[4]PT OCT 2011'!$A$2:$A$730,'[4]PT OCT 2011'!$D$2:$D$730)</f>
        <v>0.6</v>
      </c>
    </row>
    <row r="557" spans="1:4" ht="15">
      <c r="A557" s="361" t="s">
        <v>491</v>
      </c>
      <c r="B557" s="361" t="s">
        <v>492</v>
      </c>
      <c r="C557" s="366" t="s">
        <v>1849</v>
      </c>
      <c r="D557" s="278">
        <f>LOOKUP(A557,'[4]PT OCT 2011'!$A$2:$A$730,'[4]PT OCT 2011'!$D$2:$D$730)</f>
        <v>20.61</v>
      </c>
    </row>
    <row r="558" spans="1:4" ht="15">
      <c r="A558" s="361" t="s">
        <v>493</v>
      </c>
      <c r="B558" s="361" t="s">
        <v>494</v>
      </c>
      <c r="C558" s="366" t="s">
        <v>1849</v>
      </c>
      <c r="D558" s="278">
        <f>LOOKUP(A558,'[4]PT OCT 2011'!$A$2:$A$730,'[4]PT OCT 2011'!$D$2:$D$730)</f>
        <v>6.59</v>
      </c>
    </row>
    <row r="559" spans="1:4" ht="15">
      <c r="A559" s="361" t="s">
        <v>495</v>
      </c>
      <c r="B559" s="361" t="s">
        <v>496</v>
      </c>
      <c r="C559" s="366" t="s">
        <v>1849</v>
      </c>
      <c r="D559" s="278">
        <f>LOOKUP(A559,'[4]PT OCT 2011'!$A$2:$A$730,'[4]PT OCT 2011'!$D$2:$D$730)</f>
        <v>22.25</v>
      </c>
    </row>
    <row r="560" spans="1:4" ht="15">
      <c r="A560" s="361" t="s">
        <v>497</v>
      </c>
      <c r="B560" s="361" t="s">
        <v>498</v>
      </c>
      <c r="C560" s="366" t="s">
        <v>1849</v>
      </c>
      <c r="D560" s="278">
        <f>LOOKUP(A560,'[4]PT OCT 2011'!$A$2:$A$730,'[4]PT OCT 2011'!$D$2:$D$730)</f>
        <v>16.535</v>
      </c>
    </row>
    <row r="561" spans="1:4" ht="15">
      <c r="A561" s="361" t="s">
        <v>499</v>
      </c>
      <c r="B561" s="361" t="s">
        <v>500</v>
      </c>
      <c r="C561" s="366" t="s">
        <v>1849</v>
      </c>
      <c r="D561" s="278">
        <f>LOOKUP(A561,'[4]PT OCT 2011'!$A$2:$A$730,'[4]PT OCT 2011'!$D$2:$D$730)</f>
        <v>3.5833</v>
      </c>
    </row>
    <row r="562" spans="1:4" ht="15">
      <c r="A562" s="361" t="s">
        <v>501</v>
      </c>
      <c r="B562" s="361" t="s">
        <v>502</v>
      </c>
      <c r="C562" s="366" t="s">
        <v>1849</v>
      </c>
      <c r="D562" s="278">
        <f>LOOKUP(A562,'[4]PT OCT 2011'!$A$2:$A$730,'[4]PT OCT 2011'!$D$2:$D$730)</f>
        <v>5.4233</v>
      </c>
    </row>
    <row r="563" spans="1:4" ht="15">
      <c r="A563" s="361" t="s">
        <v>503</v>
      </c>
      <c r="B563" s="361" t="s">
        <v>504</v>
      </c>
      <c r="C563" s="366" t="s">
        <v>1849</v>
      </c>
      <c r="D563" s="278">
        <f>LOOKUP(A563,'[4]PT OCT 2011'!$A$2:$A$730,'[4]PT OCT 2011'!$D$2:$D$730)</f>
        <v>4.2933</v>
      </c>
    </row>
    <row r="564" spans="1:4" ht="15">
      <c r="A564" s="361" t="s">
        <v>505</v>
      </c>
      <c r="B564" s="361" t="s">
        <v>506</v>
      </c>
      <c r="C564" s="366" t="s">
        <v>1849</v>
      </c>
      <c r="D564" s="278">
        <f>LOOKUP(A564,'[4]PT OCT 2011'!$A$2:$A$730,'[4]PT OCT 2011'!$D$2:$D$730)</f>
        <v>8.9533</v>
      </c>
    </row>
    <row r="565" spans="1:4" ht="15">
      <c r="A565" s="361" t="s">
        <v>507</v>
      </c>
      <c r="B565" s="361" t="s">
        <v>508</v>
      </c>
      <c r="C565" s="366" t="s">
        <v>178</v>
      </c>
      <c r="D565" s="278">
        <f>LOOKUP(A565,'[4]PT OCT 2011'!$A$2:$A$730,'[4]PT OCT 2011'!$D$2:$D$730)</f>
        <v>8.43</v>
      </c>
    </row>
    <row r="566" spans="1:4" ht="15">
      <c r="A566" s="361" t="s">
        <v>509</v>
      </c>
      <c r="B566" s="361" t="s">
        <v>510</v>
      </c>
      <c r="C566" s="366" t="s">
        <v>178</v>
      </c>
      <c r="D566" s="278">
        <f>LOOKUP(A566,'[4]PT OCT 2011'!$A$2:$A$730,'[4]PT OCT 2011'!$D$2:$D$730)</f>
        <v>5.62</v>
      </c>
    </row>
    <row r="567" spans="1:4" ht="15">
      <c r="A567" s="361" t="s">
        <v>511</v>
      </c>
      <c r="B567" s="361" t="s">
        <v>512</v>
      </c>
      <c r="C567" s="366" t="s">
        <v>1976</v>
      </c>
      <c r="D567" s="278">
        <f>LOOKUP(A567,'[4]PT OCT 2011'!$A$2:$A$730,'[4]PT OCT 2011'!$D$2:$D$730)</f>
        <v>6.1767</v>
      </c>
    </row>
    <row r="568" spans="1:4" ht="16.5" customHeight="1">
      <c r="A568" s="361" t="s">
        <v>37</v>
      </c>
      <c r="B568" s="361" t="s">
        <v>513</v>
      </c>
      <c r="C568" s="366" t="s">
        <v>178</v>
      </c>
      <c r="D568" s="278">
        <f>LOOKUP(A568,'[4]PT OCT 2011'!$A$2:$A$730,'[4]PT OCT 2011'!$D$2:$D$730)</f>
        <v>6.545</v>
      </c>
    </row>
    <row r="569" spans="1:4" ht="15">
      <c r="A569" s="361" t="s">
        <v>514</v>
      </c>
      <c r="B569" s="361" t="s">
        <v>515</v>
      </c>
      <c r="C569" s="366" t="s">
        <v>1976</v>
      </c>
      <c r="D569" s="278">
        <f>LOOKUP(A569,'[4]PT OCT 2011'!$A$2:$A$730,'[4]PT OCT 2011'!$D$2:$D$730)</f>
        <v>19.4</v>
      </c>
    </row>
    <row r="570" spans="1:4" ht="15" hidden="1">
      <c r="A570" s="361" t="s">
        <v>1980</v>
      </c>
      <c r="B570" s="361" t="s">
        <v>516</v>
      </c>
      <c r="C570" s="366" t="s">
        <v>348</v>
      </c>
      <c r="D570" s="278">
        <f>LOOKUP(A570,'[4]PT OCT 2011'!$A$2:$A$730,'[4]PT OCT 2011'!$D$2:$D$730)</f>
        <v>19.4</v>
      </c>
    </row>
    <row r="571" spans="1:4" ht="15">
      <c r="A571" s="361" t="s">
        <v>517</v>
      </c>
      <c r="B571" s="361" t="s">
        <v>518</v>
      </c>
      <c r="C571" s="366" t="s">
        <v>348</v>
      </c>
      <c r="D571" s="278">
        <f>LOOKUP(A571,'[4]PT OCT 2011'!$A$2:$A$730,'[4]PT OCT 2011'!$D$2:$D$730)</f>
        <v>4.4867</v>
      </c>
    </row>
    <row r="572" spans="1:4" ht="15">
      <c r="A572" s="361" t="s">
        <v>519</v>
      </c>
      <c r="B572" s="361" t="s">
        <v>520</v>
      </c>
      <c r="C572" s="366" t="s">
        <v>1976</v>
      </c>
      <c r="D572" s="278">
        <f>LOOKUP(A572,'[4]PT OCT 2011'!$A$2:$A$730,'[4]PT OCT 2011'!$D$2:$D$730)</f>
        <v>15.73</v>
      </c>
    </row>
    <row r="573" spans="1:4" ht="15">
      <c r="A573" s="361" t="s">
        <v>1977</v>
      </c>
      <c r="B573" s="361" t="s">
        <v>521</v>
      </c>
      <c r="C573" s="366" t="s">
        <v>1976</v>
      </c>
      <c r="D573" s="278">
        <f>LOOKUP(A573,'[4]PT OCT 2011'!$A$2:$A$730,'[4]PT OCT 2011'!$D$2:$D$730)</f>
        <v>16.835</v>
      </c>
    </row>
    <row r="574" spans="1:4" ht="15">
      <c r="A574" s="361" t="s">
        <v>522</v>
      </c>
      <c r="B574" s="361" t="s">
        <v>1465</v>
      </c>
      <c r="C574" s="366" t="s">
        <v>2005</v>
      </c>
      <c r="D574" s="278">
        <f>LOOKUP(A574,'[4]PT OCT 2011'!$A$2:$A$730,'[4]PT OCT 2011'!$D$2:$D$730)</f>
        <v>3.36</v>
      </c>
    </row>
    <row r="575" spans="1:4" ht="14.25" customHeight="1">
      <c r="A575" s="361" t="s">
        <v>1059</v>
      </c>
      <c r="B575" s="372" t="s">
        <v>1060</v>
      </c>
      <c r="C575" s="366" t="s">
        <v>1976</v>
      </c>
      <c r="D575" s="278">
        <f>LOOKUP(A575,'[4]PT OCT 2011'!$A$2:$A$730,'[4]PT OCT 2011'!$D$2:$D$730)</f>
        <v>19.16</v>
      </c>
    </row>
    <row r="576" spans="1:4" ht="15">
      <c r="A576" s="361" t="s">
        <v>523</v>
      </c>
      <c r="B576" s="361" t="s">
        <v>524</v>
      </c>
      <c r="C576" s="366" t="s">
        <v>1976</v>
      </c>
      <c r="D576" s="278">
        <f>LOOKUP(A576,'[4]PT OCT 2011'!$A$2:$A$730,'[4]PT OCT 2011'!$D$2:$D$730)</f>
        <v>3.97</v>
      </c>
    </row>
    <row r="577" spans="1:4" ht="15">
      <c r="A577" s="361" t="s">
        <v>525</v>
      </c>
      <c r="B577" s="361" t="s">
        <v>526</v>
      </c>
      <c r="C577" s="366" t="s">
        <v>178</v>
      </c>
      <c r="D577" s="278">
        <f>LOOKUP(A577,'[4]PT OCT 2011'!$A$2:$A$730,'[4]PT OCT 2011'!$D$2:$D$730)</f>
        <v>15.29</v>
      </c>
    </row>
    <row r="578" spans="1:4" ht="15">
      <c r="A578" s="361" t="s">
        <v>528</v>
      </c>
      <c r="B578" s="361" t="s">
        <v>529</v>
      </c>
      <c r="C578" s="366" t="s">
        <v>178</v>
      </c>
      <c r="D578" s="278">
        <f>LOOKUP(A578,'[4]PT OCT 2011'!$A$2:$A$730,'[4]PT OCT 2011'!$D$2:$D$730)</f>
        <v>94.63</v>
      </c>
    </row>
    <row r="579" spans="1:4" ht="15">
      <c r="A579" s="361" t="s">
        <v>530</v>
      </c>
      <c r="B579" s="361" t="s">
        <v>531</v>
      </c>
      <c r="C579" s="366" t="s">
        <v>2023</v>
      </c>
      <c r="D579" s="278">
        <f>LOOKUP(A579,'[4]PT OCT 2011'!$A$2:$A$730,'[4]PT OCT 2011'!$D$2:$D$730)</f>
        <v>95</v>
      </c>
    </row>
    <row r="580" spans="1:4" ht="15">
      <c r="A580" s="361" t="s">
        <v>532</v>
      </c>
      <c r="B580" s="361" t="s">
        <v>533</v>
      </c>
      <c r="C580" s="366" t="s">
        <v>2023</v>
      </c>
      <c r="D580" s="278">
        <f>LOOKUP(A580,'[4]PT OCT 2011'!$A$2:$A$730,'[4]PT OCT 2011'!$D$2:$D$730)</f>
        <v>101</v>
      </c>
    </row>
    <row r="581" spans="1:4" ht="15">
      <c r="A581" s="361" t="s">
        <v>534</v>
      </c>
      <c r="B581" s="361" t="s">
        <v>535</v>
      </c>
      <c r="C581" s="366" t="s">
        <v>1976</v>
      </c>
      <c r="D581" s="278">
        <f>LOOKUP(A581,'[4]PT OCT 2011'!$A$2:$A$730,'[4]PT OCT 2011'!$D$2:$D$730)</f>
        <v>33.03</v>
      </c>
    </row>
    <row r="582" spans="1:4" ht="15">
      <c r="A582" s="361" t="s">
        <v>536</v>
      </c>
      <c r="B582" s="361" t="s">
        <v>537</v>
      </c>
      <c r="C582" s="366" t="s">
        <v>178</v>
      </c>
      <c r="D582" s="278">
        <f>LOOKUP(A582,'[4]PT OCT 2011'!$A$2:$A$730,'[4]PT OCT 2011'!$D$2:$D$730)</f>
        <v>4.96</v>
      </c>
    </row>
    <row r="583" spans="1:4" ht="15">
      <c r="A583" s="361" t="s">
        <v>538</v>
      </c>
      <c r="B583" s="361" t="s">
        <v>539</v>
      </c>
      <c r="C583" s="366" t="s">
        <v>1849</v>
      </c>
      <c r="D583" s="278">
        <f>LOOKUP(A583,'[4]PT OCT 2011'!$A$2:$A$730,'[4]PT OCT 2011'!$D$2:$D$730)</f>
        <v>18.98</v>
      </c>
    </row>
    <row r="584" spans="1:4" ht="15">
      <c r="A584" s="361" t="s">
        <v>540</v>
      </c>
      <c r="B584" s="361" t="s">
        <v>541</v>
      </c>
      <c r="C584" s="366" t="s">
        <v>1849</v>
      </c>
      <c r="D584" s="278">
        <f>LOOKUP(A584,'[4]PT OCT 2011'!$A$2:$A$730,'[4]PT OCT 2011'!$D$2:$D$730)</f>
        <v>21.34</v>
      </c>
    </row>
    <row r="585" spans="1:4" ht="25.5">
      <c r="A585" s="361" t="s">
        <v>542</v>
      </c>
      <c r="B585" s="361" t="s">
        <v>543</v>
      </c>
      <c r="C585" s="366" t="s">
        <v>178</v>
      </c>
      <c r="D585" s="278">
        <f>LOOKUP(A585,'[4]PT OCT 2011'!$A$2:$A$730,'[4]PT OCT 2011'!$D$2:$D$730)</f>
        <v>130</v>
      </c>
    </row>
    <row r="586" spans="1:4" ht="25.5">
      <c r="A586" s="361" t="s">
        <v>544</v>
      </c>
      <c r="B586" s="361" t="s">
        <v>545</v>
      </c>
      <c r="C586" s="366" t="s">
        <v>178</v>
      </c>
      <c r="D586" s="278">
        <f>LOOKUP(A586,'[4]PT OCT 2011'!$A$2:$A$730,'[4]PT OCT 2011'!$D$2:$D$730)</f>
        <v>200</v>
      </c>
    </row>
    <row r="587" spans="1:4" ht="15">
      <c r="A587" s="361" t="s">
        <v>547</v>
      </c>
      <c r="B587" s="361" t="s">
        <v>546</v>
      </c>
      <c r="C587" s="366" t="s">
        <v>178</v>
      </c>
      <c r="D587" s="278">
        <f>LOOKUP(A587,'[4]PT OCT 2011'!$A$2:$A$730,'[4]PT OCT 2011'!$D$2:$D$730)</f>
        <v>1962.81</v>
      </c>
    </row>
    <row r="588" spans="1:4" ht="25.5">
      <c r="A588" s="361" t="s">
        <v>548</v>
      </c>
      <c r="B588" s="361" t="s">
        <v>549</v>
      </c>
      <c r="C588" s="366" t="s">
        <v>178</v>
      </c>
      <c r="D588" s="278">
        <f>LOOKUP(A588,'[4]PT OCT 2011'!$A$2:$A$730,'[4]PT OCT 2011'!$D$2:$D$730)</f>
        <v>1673.18</v>
      </c>
    </row>
    <row r="589" spans="1:4" ht="25.5">
      <c r="A589" s="361" t="s">
        <v>550</v>
      </c>
      <c r="B589" s="361" t="s">
        <v>551</v>
      </c>
      <c r="C589" s="366" t="s">
        <v>178</v>
      </c>
      <c r="D589" s="278">
        <f>LOOKUP(A589,'[4]PT OCT 2011'!$A$2:$A$730,'[4]PT OCT 2011'!$D$2:$D$730)</f>
        <v>1430</v>
      </c>
    </row>
    <row r="590" spans="1:4" ht="25.5">
      <c r="A590" s="361" t="s">
        <v>552</v>
      </c>
      <c r="B590" s="361" t="s">
        <v>553</v>
      </c>
      <c r="C590" s="366" t="s">
        <v>178</v>
      </c>
      <c r="D590" s="278">
        <f>LOOKUP(A590,'[4]PT OCT 2011'!$A$2:$A$730,'[4]PT OCT 2011'!$D$2:$D$730)</f>
        <v>1281</v>
      </c>
    </row>
    <row r="591" spans="1:4" ht="25.5">
      <c r="A591" s="361" t="s">
        <v>554</v>
      </c>
      <c r="B591" s="361" t="s">
        <v>555</v>
      </c>
      <c r="C591" s="366" t="s">
        <v>178</v>
      </c>
      <c r="D591" s="278">
        <f>LOOKUP(A591,'[4]PT OCT 2011'!$A$2:$A$730,'[4]PT OCT 2011'!$D$2:$D$730)</f>
        <v>1507</v>
      </c>
    </row>
    <row r="592" spans="1:4" ht="25.5">
      <c r="A592" s="361" t="s">
        <v>556</v>
      </c>
      <c r="B592" s="361" t="s">
        <v>557</v>
      </c>
      <c r="C592" s="366" t="s">
        <v>178</v>
      </c>
      <c r="D592" s="278">
        <f>LOOKUP(A592,'[4]PT OCT 2011'!$A$2:$A$730,'[4]PT OCT 2011'!$D$2:$D$730)</f>
        <v>277</v>
      </c>
    </row>
    <row r="593" spans="1:4" ht="25.5">
      <c r="A593" s="361" t="s">
        <v>558</v>
      </c>
      <c r="B593" s="361" t="s">
        <v>559</v>
      </c>
      <c r="C593" s="366" t="s">
        <v>178</v>
      </c>
      <c r="D593" s="278">
        <f>LOOKUP(A593,'[4]PT OCT 2011'!$A$2:$A$730,'[4]PT OCT 2011'!$D$2:$D$730)</f>
        <v>315</v>
      </c>
    </row>
    <row r="594" spans="1:4" ht="25.5">
      <c r="A594" s="361" t="s">
        <v>560</v>
      </c>
      <c r="B594" s="361" t="s">
        <v>561</v>
      </c>
      <c r="C594" s="366" t="s">
        <v>178</v>
      </c>
      <c r="D594" s="278">
        <f>LOOKUP(A594,'[4]PT OCT 2011'!$A$2:$A$730,'[4]PT OCT 2011'!$D$2:$D$730)</f>
        <v>1048</v>
      </c>
    </row>
    <row r="595" spans="1:4" ht="15">
      <c r="A595" s="361" t="s">
        <v>562</v>
      </c>
      <c r="B595" s="361" t="s">
        <v>563</v>
      </c>
      <c r="C595" s="366" t="s">
        <v>178</v>
      </c>
      <c r="D595" s="278">
        <f>LOOKUP(A595,'[4]PT OCT 2011'!$A$2:$A$730,'[4]PT OCT 2011'!$D$2:$D$730)</f>
        <v>186</v>
      </c>
    </row>
    <row r="596" spans="1:4" ht="15">
      <c r="A596" s="361" t="s">
        <v>564</v>
      </c>
      <c r="B596" s="361" t="s">
        <v>565</v>
      </c>
      <c r="C596" s="366" t="s">
        <v>178</v>
      </c>
      <c r="D596" s="278">
        <f>LOOKUP(A596,'[4]PT OCT 2011'!$A$2:$A$730,'[4]PT OCT 2011'!$D$2:$D$730)</f>
        <v>183</v>
      </c>
    </row>
    <row r="597" spans="1:4" ht="15">
      <c r="A597" s="361" t="s">
        <v>566</v>
      </c>
      <c r="B597" s="361" t="s">
        <v>567</v>
      </c>
      <c r="C597" s="366" t="s">
        <v>178</v>
      </c>
      <c r="D597" s="278">
        <f>LOOKUP(A597,'[4]PT OCT 2011'!$A$2:$A$730,'[4]PT OCT 2011'!$D$2:$D$730)</f>
        <v>181</v>
      </c>
    </row>
    <row r="598" spans="1:4" ht="25.5">
      <c r="A598" s="361" t="s">
        <v>568</v>
      </c>
      <c r="B598" s="361" t="s">
        <v>569</v>
      </c>
      <c r="C598" s="366" t="s">
        <v>178</v>
      </c>
      <c r="D598" s="278">
        <f>LOOKUP(A598,'[4]PT OCT 2011'!$A$2:$A$730,'[4]PT OCT 2011'!$D$2:$D$730)</f>
        <v>797</v>
      </c>
    </row>
    <row r="599" spans="1:4" ht="25.5">
      <c r="A599" s="361" t="s">
        <v>570</v>
      </c>
      <c r="B599" s="361" t="s">
        <v>571</v>
      </c>
      <c r="C599" s="366" t="s">
        <v>178</v>
      </c>
      <c r="D599" s="278">
        <f>LOOKUP(A599,'[4]PT OCT 2011'!$A$2:$A$730,'[4]PT OCT 2011'!$D$2:$D$730)</f>
        <v>1613.72</v>
      </c>
    </row>
    <row r="600" spans="1:4" ht="15">
      <c r="A600" s="361" t="s">
        <v>572</v>
      </c>
      <c r="B600" s="361" t="s">
        <v>573</v>
      </c>
      <c r="C600" s="366" t="s">
        <v>178</v>
      </c>
      <c r="D600" s="278">
        <f>LOOKUP(A600,'[4]PT OCT 2011'!$A$2:$A$730,'[4]PT OCT 2011'!$D$2:$D$730)</f>
        <v>99.38</v>
      </c>
    </row>
    <row r="601" spans="1:4" ht="15">
      <c r="A601" s="361" t="s">
        <v>574</v>
      </c>
      <c r="B601" s="361" t="s">
        <v>575</v>
      </c>
      <c r="C601" s="366" t="s">
        <v>178</v>
      </c>
      <c r="D601" s="278">
        <f>LOOKUP(A601,'[4]PT OCT 2011'!$A$2:$A$730,'[4]PT OCT 2011'!$D$2:$D$730)</f>
        <v>96.44</v>
      </c>
    </row>
    <row r="602" spans="1:4" ht="15">
      <c r="A602" s="361" t="s">
        <v>576</v>
      </c>
      <c r="B602" s="361" t="s">
        <v>577</v>
      </c>
      <c r="C602" s="366" t="s">
        <v>578</v>
      </c>
      <c r="D602" s="278">
        <f>LOOKUP(A602,'[4]PT OCT 2011'!$A$2:$A$730,'[4]PT OCT 2011'!$D$2:$D$730)</f>
        <v>11.37</v>
      </c>
    </row>
    <row r="603" spans="1:4" ht="15">
      <c r="A603" s="361" t="s">
        <v>579</v>
      </c>
      <c r="B603" s="361" t="s">
        <v>580</v>
      </c>
      <c r="C603" s="366" t="s">
        <v>178</v>
      </c>
      <c r="D603" s="278">
        <f>LOOKUP(A603,'[4]PT OCT 2011'!$A$2:$A$730,'[4]PT OCT 2011'!$D$2:$D$730)</f>
        <v>49.8</v>
      </c>
    </row>
    <row r="604" spans="1:4" ht="15">
      <c r="A604" s="361" t="s">
        <v>581</v>
      </c>
      <c r="B604" s="361" t="s">
        <v>582</v>
      </c>
      <c r="C604" s="366" t="s">
        <v>178</v>
      </c>
      <c r="D604" s="278">
        <f>LOOKUP(A604,'[4]PT OCT 2011'!$A$2:$A$730,'[4]PT OCT 2011'!$D$2:$D$730)</f>
        <v>219.83</v>
      </c>
    </row>
    <row r="605" spans="1:4" ht="15">
      <c r="A605" s="361" t="s">
        <v>583</v>
      </c>
      <c r="B605" s="361" t="s">
        <v>584</v>
      </c>
      <c r="C605" s="366" t="s">
        <v>178</v>
      </c>
      <c r="D605" s="278">
        <f>LOOKUP(A605,'[4]PT OCT 2011'!$A$2:$A$730,'[4]PT OCT 2011'!$D$2:$D$730)</f>
        <v>80.58</v>
      </c>
    </row>
    <row r="606" spans="1:4" ht="15">
      <c r="A606" s="361" t="s">
        <v>585</v>
      </c>
      <c r="B606" s="361" t="s">
        <v>586</v>
      </c>
      <c r="C606" s="366" t="s">
        <v>178</v>
      </c>
      <c r="D606" s="278">
        <f>LOOKUP(A606,'[4]PT OCT 2011'!$A$2:$A$730,'[4]PT OCT 2011'!$D$2:$D$730)</f>
        <v>246.69</v>
      </c>
    </row>
    <row r="607" spans="1:4" ht="15">
      <c r="A607" s="361" t="s">
        <v>587</v>
      </c>
      <c r="B607" s="361" t="s">
        <v>588</v>
      </c>
      <c r="C607" s="366" t="s">
        <v>178</v>
      </c>
      <c r="D607" s="278">
        <f>LOOKUP(A607,'[4]PT OCT 2011'!$A$2:$A$730,'[4]PT OCT 2011'!$D$2:$D$730)</f>
        <v>150.925</v>
      </c>
    </row>
    <row r="608" spans="1:4" ht="15">
      <c r="A608" s="361" t="s">
        <v>589</v>
      </c>
      <c r="B608" s="361" t="s">
        <v>590</v>
      </c>
      <c r="C608" s="366" t="s">
        <v>178</v>
      </c>
      <c r="D608" s="278">
        <f>LOOKUP(A608,'[4]PT OCT 2011'!$A$2:$A$730,'[4]PT OCT 2011'!$D$2:$D$730)</f>
        <v>142.98</v>
      </c>
    </row>
    <row r="609" spans="1:4" ht="15">
      <c r="A609" s="361" t="s">
        <v>591</v>
      </c>
      <c r="B609" s="361" t="s">
        <v>592</v>
      </c>
      <c r="C609" s="366" t="s">
        <v>578</v>
      </c>
      <c r="D609" s="278">
        <f>LOOKUP(A609,'[4]PT OCT 2011'!$A$2:$A$730,'[4]PT OCT 2011'!$D$2:$D$730)</f>
        <v>18.37</v>
      </c>
    </row>
    <row r="610" spans="1:4" ht="15">
      <c r="A610" s="361" t="s">
        <v>593</v>
      </c>
      <c r="B610" s="361" t="s">
        <v>1501</v>
      </c>
      <c r="C610" s="366" t="s">
        <v>1849</v>
      </c>
      <c r="D610" s="278">
        <f>LOOKUP(A610,'[4]PT OCT 2011'!$A$2:$A$730,'[4]PT OCT 2011'!$D$2:$D$730)</f>
        <v>1.6519</v>
      </c>
    </row>
    <row r="611" spans="1:4" ht="15">
      <c r="A611" s="361" t="s">
        <v>594</v>
      </c>
      <c r="B611" s="361" t="s">
        <v>595</v>
      </c>
      <c r="C611" s="366" t="s">
        <v>178</v>
      </c>
      <c r="D611" s="278">
        <f>LOOKUP(A611,'[4]PT OCT 2011'!$A$2:$A$730,'[4]PT OCT 2011'!$D$2:$D$730)</f>
        <v>528.93</v>
      </c>
    </row>
    <row r="612" spans="1:4" ht="15">
      <c r="A612" s="361" t="s">
        <v>596</v>
      </c>
      <c r="B612" s="361" t="s">
        <v>1641</v>
      </c>
      <c r="C612" s="366" t="s">
        <v>178</v>
      </c>
      <c r="D612" s="278">
        <f>LOOKUP(A612,'[4]PT OCT 2011'!$A$2:$A$730,'[4]PT OCT 2011'!$D$2:$D$730)</f>
        <v>49.74</v>
      </c>
    </row>
    <row r="613" spans="1:4" ht="15">
      <c r="A613" s="361" t="s">
        <v>597</v>
      </c>
      <c r="B613" s="361" t="s">
        <v>1642</v>
      </c>
      <c r="C613" s="366" t="s">
        <v>178</v>
      </c>
      <c r="D613" s="278">
        <f>LOOKUP(A613,'[4]PT OCT 2011'!$A$2:$A$730,'[4]PT OCT 2011'!$D$2:$D$730)</f>
        <v>89.825</v>
      </c>
    </row>
    <row r="614" spans="1:4" ht="15">
      <c r="A614" s="361" t="s">
        <v>598</v>
      </c>
      <c r="B614" s="361" t="s">
        <v>1512</v>
      </c>
      <c r="C614" s="366" t="s">
        <v>1849</v>
      </c>
      <c r="D614" s="278">
        <f>LOOKUP(A614,'[4]PT OCT 2011'!$A$2:$A$730,'[4]PT OCT 2011'!$D$2:$D$730)</f>
        <v>4.2673</v>
      </c>
    </row>
    <row r="615" spans="1:4" ht="15">
      <c r="A615" s="361" t="s">
        <v>599</v>
      </c>
      <c r="B615" s="361" t="s">
        <v>1643</v>
      </c>
      <c r="C615" s="366" t="s">
        <v>1849</v>
      </c>
      <c r="D615" s="278">
        <f>LOOKUP(A615,'[4]PT OCT 2011'!$A$2:$A$730,'[4]PT OCT 2011'!$D$2:$D$730)</f>
        <v>2.3933</v>
      </c>
    </row>
    <row r="616" spans="1:4" ht="15">
      <c r="A616" s="361" t="s">
        <v>600</v>
      </c>
      <c r="B616" s="361" t="s">
        <v>1644</v>
      </c>
      <c r="C616" s="366" t="s">
        <v>1849</v>
      </c>
      <c r="D616" s="278">
        <f>LOOKUP(A616,'[4]PT OCT 2011'!$A$2:$A$730,'[4]PT OCT 2011'!$D$2:$D$730)</f>
        <v>10.59</v>
      </c>
    </row>
    <row r="617" spans="1:4" ht="15">
      <c r="A617" s="361" t="s">
        <v>601</v>
      </c>
      <c r="B617" s="361" t="s">
        <v>1645</v>
      </c>
      <c r="C617" s="366" t="s">
        <v>1849</v>
      </c>
      <c r="D617" s="278">
        <f>LOOKUP(A617,'[4]PT OCT 2011'!$A$2:$A$730,'[4]PT OCT 2011'!$D$2:$D$730)</f>
        <v>21.695</v>
      </c>
    </row>
    <row r="618" spans="1:4" ht="15">
      <c r="A618" s="361" t="s">
        <v>602</v>
      </c>
      <c r="B618" s="361" t="s">
        <v>603</v>
      </c>
      <c r="C618" s="366" t="s">
        <v>1849</v>
      </c>
      <c r="D618" s="278">
        <f>LOOKUP(A618,'[4]PT OCT 2011'!$A$2:$A$730,'[4]PT OCT 2011'!$D$2:$D$730)</f>
        <v>6.2536</v>
      </c>
    </row>
    <row r="619" spans="1:4" ht="15">
      <c r="A619" s="361" t="s">
        <v>604</v>
      </c>
      <c r="B619" s="361" t="s">
        <v>1646</v>
      </c>
      <c r="C619" s="366" t="s">
        <v>1849</v>
      </c>
      <c r="D619" s="278">
        <f>LOOKUP(A619,'[4]PT OCT 2011'!$A$2:$A$730,'[4]PT OCT 2011'!$D$2:$D$730)</f>
        <v>1.505</v>
      </c>
    </row>
    <row r="620" spans="1:4" ht="15">
      <c r="A620" s="361" t="s">
        <v>605</v>
      </c>
      <c r="B620" s="361" t="s">
        <v>606</v>
      </c>
      <c r="C620" s="366" t="s">
        <v>1849</v>
      </c>
      <c r="D620" s="278">
        <f>LOOKUP(A620,'[4]PT OCT 2011'!$A$2:$A$730,'[4]PT OCT 2011'!$D$2:$D$730)</f>
        <v>1.8267</v>
      </c>
    </row>
    <row r="621" spans="1:4" ht="15">
      <c r="A621" s="361" t="s">
        <v>607</v>
      </c>
      <c r="B621" s="361" t="s">
        <v>608</v>
      </c>
      <c r="C621" s="366" t="s">
        <v>1849</v>
      </c>
      <c r="D621" s="278">
        <f>LOOKUP(A621,'[4]PT OCT 2011'!$A$2:$A$730,'[4]PT OCT 2011'!$D$2:$D$730)</f>
        <v>3.8167</v>
      </c>
    </row>
    <row r="622" spans="1:4" ht="15">
      <c r="A622" s="361" t="s">
        <v>609</v>
      </c>
      <c r="B622" s="361" t="s">
        <v>1493</v>
      </c>
      <c r="C622" s="366" t="s">
        <v>178</v>
      </c>
      <c r="D622" s="278">
        <f>LOOKUP(A622,'[4]PT OCT 2011'!$A$2:$A$730,'[4]PT OCT 2011'!$D$2:$D$730)</f>
        <v>2.66</v>
      </c>
    </row>
    <row r="623" spans="1:4" ht="15">
      <c r="A623" s="361" t="s">
        <v>610</v>
      </c>
      <c r="B623" s="361" t="s">
        <v>1492</v>
      </c>
      <c r="C623" s="366" t="s">
        <v>178</v>
      </c>
      <c r="D623" s="278">
        <f>LOOKUP(A623,'[4]PT OCT 2011'!$A$2:$A$730,'[4]PT OCT 2011'!$D$2:$D$730)</f>
        <v>1.31</v>
      </c>
    </row>
    <row r="624" spans="1:4" ht="15">
      <c r="A624" s="361" t="s">
        <v>611</v>
      </c>
      <c r="B624" s="361" t="s">
        <v>1494</v>
      </c>
      <c r="C624" s="366" t="s">
        <v>178</v>
      </c>
      <c r="D624" s="278">
        <f>LOOKUP(A624,'[4]PT OCT 2011'!$A$2:$A$730,'[4]PT OCT 2011'!$D$2:$D$730)</f>
        <v>4.52</v>
      </c>
    </row>
    <row r="625" spans="1:4" ht="15">
      <c r="A625" s="361" t="s">
        <v>612</v>
      </c>
      <c r="B625" s="361" t="s">
        <v>1647</v>
      </c>
      <c r="C625" s="366" t="s">
        <v>178</v>
      </c>
      <c r="D625" s="278">
        <f>LOOKUP(A625,'[4]PT OCT 2011'!$A$2:$A$730,'[4]PT OCT 2011'!$D$2:$D$730)</f>
        <v>2.66</v>
      </c>
    </row>
    <row r="626" spans="1:4" ht="15">
      <c r="A626" s="361" t="s">
        <v>613</v>
      </c>
      <c r="B626" s="361" t="s">
        <v>1648</v>
      </c>
      <c r="C626" s="366" t="s">
        <v>178</v>
      </c>
      <c r="D626" s="278">
        <f>LOOKUP(A626,'[4]PT OCT 2011'!$A$2:$A$730,'[4]PT OCT 2011'!$D$2:$D$730)</f>
        <v>19.95</v>
      </c>
    </row>
    <row r="627" spans="1:4" ht="15">
      <c r="A627" s="361" t="s">
        <v>614</v>
      </c>
      <c r="B627" s="361" t="s">
        <v>1649</v>
      </c>
      <c r="C627" s="366" t="s">
        <v>178</v>
      </c>
      <c r="D627" s="278">
        <f>LOOKUP(A627,'[4]PT OCT 2011'!$A$2:$A$730,'[4]PT OCT 2011'!$D$2:$D$730)</f>
        <v>26.21</v>
      </c>
    </row>
    <row r="628" spans="1:4" ht="15">
      <c r="A628" s="361" t="s">
        <v>615</v>
      </c>
      <c r="B628" s="361" t="s">
        <v>1650</v>
      </c>
      <c r="C628" s="366" t="s">
        <v>178</v>
      </c>
      <c r="D628" s="278">
        <f>LOOKUP(A628,'[4]PT OCT 2011'!$A$2:$A$730,'[4]PT OCT 2011'!$D$2:$D$730)</f>
        <v>17.5967</v>
      </c>
    </row>
    <row r="629" spans="1:4" ht="15">
      <c r="A629" s="361" t="s">
        <v>616</v>
      </c>
      <c r="B629" s="361" t="s">
        <v>1651</v>
      </c>
      <c r="C629" s="366" t="s">
        <v>178</v>
      </c>
      <c r="D629" s="278">
        <f>LOOKUP(A629,'[4]PT OCT 2011'!$A$2:$A$730,'[4]PT OCT 2011'!$D$2:$D$730)</f>
        <v>21.6167</v>
      </c>
    </row>
    <row r="630" spans="1:4" ht="15">
      <c r="A630" s="361" t="s">
        <v>617</v>
      </c>
      <c r="B630" s="361" t="s">
        <v>1479</v>
      </c>
      <c r="C630" s="366" t="s">
        <v>178</v>
      </c>
      <c r="D630" s="278">
        <f>LOOKUP(A630,'[4]PT OCT 2011'!$A$2:$A$730,'[4]PT OCT 2011'!$D$2:$D$730)</f>
        <v>25.45</v>
      </c>
    </row>
    <row r="631" spans="1:4" ht="15">
      <c r="A631" s="361" t="s">
        <v>618</v>
      </c>
      <c r="B631" s="361" t="s">
        <v>1652</v>
      </c>
      <c r="C631" s="366" t="s">
        <v>178</v>
      </c>
      <c r="D631" s="278">
        <f>LOOKUP(A631,'[4]PT OCT 2011'!$A$2:$A$730,'[4]PT OCT 2011'!$D$2:$D$730)</f>
        <v>3.025</v>
      </c>
    </row>
    <row r="632" spans="1:4" ht="15">
      <c r="A632" s="361" t="s">
        <v>619</v>
      </c>
      <c r="B632" s="361" t="s">
        <v>1653</v>
      </c>
      <c r="C632" s="366" t="s">
        <v>178</v>
      </c>
      <c r="D632" s="278">
        <f>LOOKUP(A632,'[4]PT OCT 2011'!$A$2:$A$730,'[4]PT OCT 2011'!$D$2:$D$730)</f>
        <v>2.7</v>
      </c>
    </row>
    <row r="633" spans="1:4" ht="15">
      <c r="A633" s="361" t="s">
        <v>620</v>
      </c>
      <c r="B633" s="361" t="s">
        <v>1654</v>
      </c>
      <c r="C633" s="366" t="s">
        <v>1849</v>
      </c>
      <c r="D633" s="278">
        <f>LOOKUP(A633,'[4]PT OCT 2011'!$A$2:$A$730,'[4]PT OCT 2011'!$D$2:$D$730)</f>
        <v>1.13</v>
      </c>
    </row>
    <row r="634" spans="1:4" ht="15">
      <c r="A634" s="361" t="s">
        <v>621</v>
      </c>
      <c r="B634" s="361" t="s">
        <v>1655</v>
      </c>
      <c r="C634" s="366" t="s">
        <v>178</v>
      </c>
      <c r="D634" s="278">
        <f>LOOKUP(A634,'[4]PT OCT 2011'!$A$2:$A$730,'[4]PT OCT 2011'!$D$2:$D$730)</f>
        <v>17.3367</v>
      </c>
    </row>
    <row r="635" spans="1:4" ht="15">
      <c r="A635" s="361" t="s">
        <v>622</v>
      </c>
      <c r="B635" s="361" t="s">
        <v>1656</v>
      </c>
      <c r="C635" s="366" t="s">
        <v>178</v>
      </c>
      <c r="D635" s="278">
        <f>LOOKUP(A635,'[4]PT OCT 2011'!$A$2:$A$730,'[4]PT OCT 2011'!$D$2:$D$730)</f>
        <v>33.425</v>
      </c>
    </row>
    <row r="636" spans="1:4" ht="15">
      <c r="A636" s="361" t="s">
        <v>623</v>
      </c>
      <c r="B636" s="361" t="s">
        <v>1657</v>
      </c>
      <c r="C636" s="366" t="s">
        <v>178</v>
      </c>
      <c r="D636" s="278">
        <f>LOOKUP(A636,'[4]PT OCT 2011'!$A$2:$A$730,'[4]PT OCT 2011'!$D$2:$D$730)</f>
        <v>143.725</v>
      </c>
    </row>
    <row r="637" spans="1:4" ht="15">
      <c r="A637" s="361" t="s">
        <v>624</v>
      </c>
      <c r="B637" s="361" t="s">
        <v>1658</v>
      </c>
      <c r="C637" s="366" t="s">
        <v>178</v>
      </c>
      <c r="D637" s="278">
        <f>LOOKUP(A637,'[4]PT OCT 2011'!$A$2:$A$730,'[4]PT OCT 2011'!$D$2:$D$730)</f>
        <v>49.44</v>
      </c>
    </row>
    <row r="638" spans="1:4" ht="15">
      <c r="A638" s="361" t="s">
        <v>625</v>
      </c>
      <c r="B638" s="361" t="s">
        <v>1659</v>
      </c>
      <c r="C638" s="366" t="s">
        <v>178</v>
      </c>
      <c r="D638" s="278">
        <f>LOOKUP(A638,'[4]PT OCT 2011'!$A$2:$A$730,'[4]PT OCT 2011'!$D$2:$D$730)</f>
        <v>155.465</v>
      </c>
    </row>
    <row r="639" spans="1:4" ht="15">
      <c r="A639" s="361" t="s">
        <v>626</v>
      </c>
      <c r="B639" s="361" t="s">
        <v>1660</v>
      </c>
      <c r="C639" s="366" t="s">
        <v>178</v>
      </c>
      <c r="D639" s="278">
        <f>LOOKUP(A639,'[4]PT OCT 2011'!$A$2:$A$730,'[4]PT OCT 2011'!$D$2:$D$730)</f>
        <v>281.33</v>
      </c>
    </row>
    <row r="640" spans="1:4" ht="15">
      <c r="A640" s="361" t="s">
        <v>627</v>
      </c>
      <c r="B640" s="361" t="s">
        <v>1661</v>
      </c>
      <c r="C640" s="366" t="s">
        <v>178</v>
      </c>
      <c r="D640" s="278">
        <f>LOOKUP(A640,'[4]PT OCT 2011'!$A$2:$A$730,'[4]PT OCT 2011'!$D$2:$D$730)</f>
        <v>16.61</v>
      </c>
    </row>
    <row r="641" spans="1:4" ht="15">
      <c r="A641" s="361" t="s">
        <v>628</v>
      </c>
      <c r="B641" s="361" t="s">
        <v>1662</v>
      </c>
      <c r="C641" s="366" t="s">
        <v>178</v>
      </c>
      <c r="D641" s="278">
        <f>LOOKUP(A641,'[4]PT OCT 2011'!$A$2:$A$730,'[4]PT OCT 2011'!$D$2:$D$730)</f>
        <v>15.705</v>
      </c>
    </row>
    <row r="642" spans="1:4" ht="15">
      <c r="A642" s="361" t="s">
        <v>629</v>
      </c>
      <c r="B642" s="361" t="s">
        <v>1663</v>
      </c>
      <c r="C642" s="366" t="s">
        <v>178</v>
      </c>
      <c r="D642" s="278">
        <f>LOOKUP(A642,'[4]PT OCT 2011'!$A$2:$A$730,'[4]PT OCT 2011'!$D$2:$D$730)</f>
        <v>19.505</v>
      </c>
    </row>
    <row r="643" spans="1:4" ht="15">
      <c r="A643" s="361" t="s">
        <v>630</v>
      </c>
      <c r="B643" s="361" t="s">
        <v>1664</v>
      </c>
      <c r="C643" s="366" t="s">
        <v>178</v>
      </c>
      <c r="D643" s="278">
        <f>LOOKUP(A643,'[4]PT OCT 2011'!$A$2:$A$730,'[4]PT OCT 2011'!$D$2:$D$730)</f>
        <v>213.825</v>
      </c>
    </row>
    <row r="644" spans="1:4" ht="15">
      <c r="A644" s="361" t="s">
        <v>631</v>
      </c>
      <c r="B644" s="361" t="s">
        <v>1665</v>
      </c>
      <c r="C644" s="366" t="s">
        <v>178</v>
      </c>
      <c r="D644" s="278">
        <f>LOOKUP(A644,'[4]PT OCT 2011'!$A$2:$A$730,'[4]PT OCT 2011'!$D$2:$D$730)</f>
        <v>275.275</v>
      </c>
    </row>
    <row r="645" spans="1:4" ht="15">
      <c r="A645" s="361" t="s">
        <v>632</v>
      </c>
      <c r="B645" s="361" t="s">
        <v>1666</v>
      </c>
      <c r="C645" s="366" t="s">
        <v>178</v>
      </c>
      <c r="D645" s="278">
        <f>LOOKUP(A645,'[4]PT OCT 2011'!$A$2:$A$730,'[4]PT OCT 2011'!$D$2:$D$730)</f>
        <v>45.235</v>
      </c>
    </row>
    <row r="646" spans="1:4" ht="15">
      <c r="A646" s="361" t="s">
        <v>633</v>
      </c>
      <c r="B646" s="361" t="s">
        <v>1667</v>
      </c>
      <c r="C646" s="366" t="s">
        <v>178</v>
      </c>
      <c r="D646" s="278">
        <f>LOOKUP(A646,'[4]PT OCT 2011'!$A$2:$A$730,'[4]PT OCT 2011'!$D$2:$D$730)</f>
        <v>95.3</v>
      </c>
    </row>
    <row r="647" spans="1:4" ht="15">
      <c r="A647" s="361" t="s">
        <v>634</v>
      </c>
      <c r="B647" s="361" t="s">
        <v>1668</v>
      </c>
      <c r="C647" s="366" t="s">
        <v>178</v>
      </c>
      <c r="D647" s="278">
        <f>LOOKUP(A647,'[4]PT OCT 2011'!$A$2:$A$730,'[4]PT OCT 2011'!$D$2:$D$730)</f>
        <v>84.86</v>
      </c>
    </row>
    <row r="648" spans="1:4" ht="15">
      <c r="A648" s="361" t="s">
        <v>635</v>
      </c>
      <c r="B648" s="361" t="s">
        <v>1669</v>
      </c>
      <c r="C648" s="366" t="s">
        <v>178</v>
      </c>
      <c r="D648" s="278">
        <f>LOOKUP(A648,'[4]PT OCT 2011'!$A$2:$A$730,'[4]PT OCT 2011'!$D$2:$D$730)</f>
        <v>16.025</v>
      </c>
    </row>
    <row r="649" spans="1:4" ht="15">
      <c r="A649" s="361" t="s">
        <v>636</v>
      </c>
      <c r="B649" s="361" t="s">
        <v>1670</v>
      </c>
      <c r="C649" s="366" t="s">
        <v>178</v>
      </c>
      <c r="D649" s="278">
        <f>LOOKUP(A649,'[4]PT OCT 2011'!$A$2:$A$730,'[4]PT OCT 2011'!$D$2:$D$730)</f>
        <v>15000</v>
      </c>
    </row>
    <row r="650" spans="1:4" ht="15">
      <c r="A650" s="361" t="s">
        <v>637</v>
      </c>
      <c r="B650" s="361" t="s">
        <v>1671</v>
      </c>
      <c r="C650" s="366" t="s">
        <v>178</v>
      </c>
      <c r="D650" s="278">
        <f>LOOKUP(A650,'[4]PT OCT 2011'!$A$2:$A$730,'[4]PT OCT 2011'!$D$2:$D$730)</f>
        <v>5.895</v>
      </c>
    </row>
    <row r="651" spans="1:4" ht="15">
      <c r="A651" s="361" t="s">
        <v>638</v>
      </c>
      <c r="B651" s="361" t="s">
        <v>1310</v>
      </c>
      <c r="C651" s="366" t="s">
        <v>178</v>
      </c>
      <c r="D651" s="278">
        <f>LOOKUP(A651,'[4]PT OCT 2011'!$A$2:$A$730,'[4]PT OCT 2011'!$D$2:$D$730)</f>
        <v>41.84</v>
      </c>
    </row>
    <row r="652" spans="1:4" ht="25.5">
      <c r="A652" s="361" t="s">
        <v>639</v>
      </c>
      <c r="B652" s="361" t="s">
        <v>1672</v>
      </c>
      <c r="C652" s="366" t="s">
        <v>178</v>
      </c>
      <c r="D652" s="278">
        <f>LOOKUP(A652,'[4]PT OCT 2011'!$A$2:$A$730,'[4]PT OCT 2011'!$D$2:$D$730)</f>
        <v>137.69</v>
      </c>
    </row>
    <row r="653" spans="1:4" ht="15">
      <c r="A653" s="361" t="s">
        <v>640</v>
      </c>
      <c r="B653" s="361" t="s">
        <v>1317</v>
      </c>
      <c r="C653" s="366" t="s">
        <v>178</v>
      </c>
      <c r="D653" s="278">
        <f>LOOKUP(A653,'[4]PT OCT 2011'!$A$2:$A$730,'[4]PT OCT 2011'!$D$2:$D$730)</f>
        <v>2.12</v>
      </c>
    </row>
    <row r="654" spans="1:4" ht="15">
      <c r="A654" s="361" t="s">
        <v>641</v>
      </c>
      <c r="B654" s="361" t="s">
        <v>1318</v>
      </c>
      <c r="C654" s="366" t="s">
        <v>178</v>
      </c>
      <c r="D654" s="278">
        <f>LOOKUP(A654,'[4]PT OCT 2011'!$A$2:$A$730,'[4]PT OCT 2011'!$D$2:$D$730)</f>
        <v>9.14</v>
      </c>
    </row>
    <row r="655" spans="1:4" ht="15">
      <c r="A655" s="361" t="s">
        <v>642</v>
      </c>
      <c r="B655" s="361" t="s">
        <v>1322</v>
      </c>
      <c r="C655" s="366" t="s">
        <v>178</v>
      </c>
      <c r="D655" s="278">
        <f>LOOKUP(A655,'[4]PT OCT 2011'!$A$2:$A$730,'[4]PT OCT 2011'!$D$2:$D$730)</f>
        <v>1.66</v>
      </c>
    </row>
    <row r="656" spans="1:4" ht="15">
      <c r="A656" s="361" t="s">
        <v>643</v>
      </c>
      <c r="B656" s="361" t="s">
        <v>1673</v>
      </c>
      <c r="C656" s="366" t="s">
        <v>178</v>
      </c>
      <c r="D656" s="278">
        <f>LOOKUP(A656,'[4]PT OCT 2011'!$A$2:$A$730,'[4]PT OCT 2011'!$D$2:$D$730)</f>
        <v>4.26</v>
      </c>
    </row>
    <row r="657" spans="1:4" ht="15">
      <c r="A657" s="361" t="s">
        <v>644</v>
      </c>
      <c r="B657" s="361" t="s">
        <v>1324</v>
      </c>
      <c r="C657" s="366" t="s">
        <v>178</v>
      </c>
      <c r="D657" s="278">
        <f>LOOKUP(A657,'[4]PT OCT 2011'!$A$2:$A$730,'[4]PT OCT 2011'!$D$2:$D$730)</f>
        <v>5.88</v>
      </c>
    </row>
    <row r="658" spans="1:4" ht="15">
      <c r="A658" s="361" t="s">
        <v>645</v>
      </c>
      <c r="B658" s="361" t="s">
        <v>1326</v>
      </c>
      <c r="C658" s="366" t="s">
        <v>178</v>
      </c>
      <c r="D658" s="278">
        <f>LOOKUP(A658,'[4]PT OCT 2011'!$A$2:$A$730,'[4]PT OCT 2011'!$D$2:$D$730)</f>
        <v>1.19</v>
      </c>
    </row>
    <row r="659" spans="1:4" ht="15">
      <c r="A659" s="361" t="s">
        <v>646</v>
      </c>
      <c r="B659" s="361" t="s">
        <v>1329</v>
      </c>
      <c r="C659" s="366" t="s">
        <v>178</v>
      </c>
      <c r="D659" s="278">
        <f>LOOKUP(A659,'[4]PT OCT 2011'!$A$2:$A$730,'[4]PT OCT 2011'!$D$2:$D$730)</f>
        <v>5.83</v>
      </c>
    </row>
    <row r="660" spans="1:4" ht="15">
      <c r="A660" s="361" t="s">
        <v>647</v>
      </c>
      <c r="B660" s="361" t="s">
        <v>648</v>
      </c>
      <c r="C660" s="366" t="s">
        <v>1849</v>
      </c>
      <c r="D660" s="278">
        <f>LOOKUP(A660,'[4]PT OCT 2011'!$A$2:$A$730,'[4]PT OCT 2011'!$D$2:$D$730)</f>
        <v>1.48</v>
      </c>
    </row>
    <row r="661" spans="1:4" ht="15">
      <c r="A661" s="361" t="s">
        <v>649</v>
      </c>
      <c r="B661" s="361" t="s">
        <v>1674</v>
      </c>
      <c r="C661" s="366" t="s">
        <v>178</v>
      </c>
      <c r="D661" s="278">
        <f>LOOKUP(A661,'[4]PT OCT 2011'!$A$2:$A$730,'[4]PT OCT 2011'!$D$2:$D$730)</f>
        <v>2.69</v>
      </c>
    </row>
    <row r="662" spans="1:4" ht="15">
      <c r="A662" s="361" t="s">
        <v>650</v>
      </c>
      <c r="B662" s="361" t="s">
        <v>651</v>
      </c>
      <c r="C662" s="366" t="s">
        <v>178</v>
      </c>
      <c r="D662" s="278">
        <f>LOOKUP(A662,'[4]PT OCT 2011'!$A$2:$A$730,'[4]PT OCT 2011'!$D$2:$D$730)</f>
        <v>7.2</v>
      </c>
    </row>
    <row r="663" spans="1:4" ht="15">
      <c r="A663" s="361" t="s">
        <v>1050</v>
      </c>
      <c r="B663" s="361" t="s">
        <v>652</v>
      </c>
      <c r="C663" s="366" t="s">
        <v>178</v>
      </c>
      <c r="D663" s="278">
        <f>LOOKUP(A663,'[4]PT OCT 2011'!$A$2:$A$730,'[4]PT OCT 2011'!$D$2:$D$730)</f>
        <v>49576</v>
      </c>
    </row>
    <row r="664" spans="1:4" ht="15">
      <c r="A664" s="361" t="s">
        <v>653</v>
      </c>
      <c r="B664" s="361" t="s">
        <v>654</v>
      </c>
      <c r="C664" s="366" t="s">
        <v>178</v>
      </c>
      <c r="D664" s="278">
        <f>LOOKUP(A664,'[4]PT OCT 2011'!$A$2:$A$730,'[4]PT OCT 2011'!$D$2:$D$730)</f>
        <v>361650.6075</v>
      </c>
    </row>
    <row r="665" spans="1:4" ht="15">
      <c r="A665" s="361" t="s">
        <v>655</v>
      </c>
      <c r="B665" s="361" t="s">
        <v>656</v>
      </c>
      <c r="C665" s="366" t="s">
        <v>178</v>
      </c>
      <c r="D665" s="278">
        <f>LOOKUP(A665,'[4]PT OCT 2011'!$A$2:$A$730,'[4]PT OCT 2011'!$D$2:$D$730)</f>
        <v>66652.8372</v>
      </c>
    </row>
    <row r="666" spans="1:4" ht="15">
      <c r="A666" s="361" t="s">
        <v>657</v>
      </c>
      <c r="B666" s="361" t="s">
        <v>658</v>
      </c>
      <c r="C666" s="366" t="s">
        <v>178</v>
      </c>
      <c r="D666" s="278">
        <f>LOOKUP(A666,'[4]PT OCT 2011'!$A$2:$A$730,'[4]PT OCT 2011'!$D$2:$D$730)</f>
        <v>12851.2297</v>
      </c>
    </row>
    <row r="667" spans="1:4" ht="15">
      <c r="A667" s="361" t="s">
        <v>659</v>
      </c>
      <c r="B667" s="361" t="s">
        <v>660</v>
      </c>
      <c r="C667" s="366" t="s">
        <v>178</v>
      </c>
      <c r="D667" s="278">
        <f>LOOKUP(A667,'[4]PT OCT 2011'!$A$2:$A$730,'[4]PT OCT 2011'!$D$2:$D$730)</f>
        <v>9225.0303</v>
      </c>
    </row>
    <row r="668" spans="1:4" ht="25.5">
      <c r="A668" s="361" t="s">
        <v>661</v>
      </c>
      <c r="B668" s="361" t="s">
        <v>662</v>
      </c>
      <c r="C668" s="366" t="s">
        <v>178</v>
      </c>
      <c r="D668" s="278">
        <f>LOOKUP(A668,'[4]PT OCT 2011'!$A$2:$A$730,'[4]PT OCT 2011'!$D$2:$D$730)</f>
        <v>156791.86</v>
      </c>
    </row>
    <row r="669" spans="1:4" ht="15">
      <c r="A669" s="361" t="s">
        <v>663</v>
      </c>
      <c r="B669" s="361" t="s">
        <v>664</v>
      </c>
      <c r="C669" s="366" t="s">
        <v>178</v>
      </c>
      <c r="D669" s="278">
        <f>LOOKUP(A669,'[4]PT OCT 2011'!$A$2:$A$730,'[4]PT OCT 2011'!$D$2:$D$730)</f>
        <v>26578.2071</v>
      </c>
    </row>
    <row r="670" spans="1:4" ht="15">
      <c r="A670" s="361" t="s">
        <v>665</v>
      </c>
      <c r="B670" s="361" t="s">
        <v>666</v>
      </c>
      <c r="C670" s="366" t="s">
        <v>178</v>
      </c>
      <c r="D670" s="278">
        <f>LOOKUP(A670,'[4]PT OCT 2011'!$A$2:$A$730,'[4]PT OCT 2011'!$D$2:$D$730)</f>
        <v>230843.1627</v>
      </c>
    </row>
    <row r="671" spans="1:4" ht="15">
      <c r="A671" s="361" t="s">
        <v>667</v>
      </c>
      <c r="B671" s="361" t="s">
        <v>668</v>
      </c>
      <c r="C671" s="366" t="s">
        <v>178</v>
      </c>
      <c r="D671" s="278">
        <f>LOOKUP(A671,'[4]PT OCT 2011'!$A$2:$A$730,'[4]PT OCT 2011'!$D$2:$D$730)</f>
        <v>16116.3366</v>
      </c>
    </row>
    <row r="672" spans="1:4" ht="15">
      <c r="A672" s="361" t="s">
        <v>669</v>
      </c>
      <c r="B672" s="361" t="s">
        <v>1545</v>
      </c>
      <c r="C672" s="366" t="s">
        <v>178</v>
      </c>
      <c r="D672" s="278">
        <f>LOOKUP(A672,'[4]PT OCT 2011'!$A$2:$A$730,'[4]PT OCT 2011'!$D$2:$D$730)</f>
        <v>70940.3</v>
      </c>
    </row>
    <row r="673" spans="1:4" ht="15">
      <c r="A673" s="361" t="s">
        <v>670</v>
      </c>
      <c r="B673" s="361" t="s">
        <v>1547</v>
      </c>
      <c r="C673" s="366" t="s">
        <v>178</v>
      </c>
      <c r="D673" s="278">
        <f>LOOKUP(A673,'[4]PT OCT 2011'!$A$2:$A$730,'[4]PT OCT 2011'!$D$2:$D$730)</f>
        <v>59651.27</v>
      </c>
    </row>
    <row r="674" spans="1:4" ht="15">
      <c r="A674" s="361" t="s">
        <v>671</v>
      </c>
      <c r="B674" s="361" t="s">
        <v>672</v>
      </c>
      <c r="C674" s="366" t="s">
        <v>178</v>
      </c>
      <c r="D674" s="278">
        <f>LOOKUP(A674,'[4]PT OCT 2011'!$A$2:$A$730,'[4]PT OCT 2011'!$D$2:$D$730)</f>
        <v>160035.58</v>
      </c>
    </row>
    <row r="675" spans="1:4" ht="15">
      <c r="A675" s="361" t="s">
        <v>673</v>
      </c>
      <c r="B675" s="361" t="s">
        <v>1549</v>
      </c>
      <c r="C675" s="366" t="s">
        <v>178</v>
      </c>
      <c r="D675" s="278">
        <f>LOOKUP(A675,'[4]PT OCT 2011'!$A$2:$A$730,'[4]PT OCT 2011'!$D$2:$D$730)</f>
        <v>97427.46</v>
      </c>
    </row>
    <row r="676" spans="1:4" ht="15">
      <c r="A676" s="361" t="s">
        <v>674</v>
      </c>
      <c r="B676" s="361" t="s">
        <v>675</v>
      </c>
      <c r="C676" s="366" t="s">
        <v>178</v>
      </c>
      <c r="D676" s="278">
        <f>LOOKUP(A676,'[4]PT OCT 2011'!$A$2:$A$730,'[4]PT OCT 2011'!$D$2:$D$730)</f>
        <v>117537.99</v>
      </c>
    </row>
    <row r="677" spans="1:4" ht="15">
      <c r="A677" s="361" t="s">
        <v>1085</v>
      </c>
      <c r="B677" s="361" t="s">
        <v>676</v>
      </c>
      <c r="C677" s="366" t="s">
        <v>178</v>
      </c>
      <c r="D677" s="278">
        <f>LOOKUP(A677,'[4]PT OCT 2011'!$A$2:$A$730,'[4]PT OCT 2011'!$D$2:$D$730)</f>
        <v>23931.67</v>
      </c>
    </row>
    <row r="678" spans="1:4" ht="25.5">
      <c r="A678" s="361" t="s">
        <v>677</v>
      </c>
      <c r="B678" s="361" t="s">
        <v>678</v>
      </c>
      <c r="C678" s="366" t="s">
        <v>178</v>
      </c>
      <c r="D678" s="278">
        <f>LOOKUP(A678,'[4]PT OCT 2011'!$A$2:$A$730,'[4]PT OCT 2011'!$D$2:$D$730)</f>
        <v>4900529</v>
      </c>
    </row>
    <row r="679" spans="1:4" ht="15">
      <c r="A679" s="361" t="s">
        <v>679</v>
      </c>
      <c r="B679" s="361" t="s">
        <v>680</v>
      </c>
      <c r="C679" s="366" t="s">
        <v>178</v>
      </c>
      <c r="D679" s="278">
        <f>LOOKUP(A679,'[4]PT OCT 2011'!$A$2:$A$730,'[4]PT OCT 2011'!$D$2:$D$730)</f>
        <v>143000</v>
      </c>
    </row>
    <row r="680" spans="1:4" ht="15">
      <c r="A680" s="361" t="s">
        <v>681</v>
      </c>
      <c r="B680" s="361" t="s">
        <v>682</v>
      </c>
      <c r="C680" s="366" t="s">
        <v>178</v>
      </c>
      <c r="D680" s="278">
        <f>LOOKUP(A680,'[4]PT OCT 2011'!$A$2:$A$730,'[4]PT OCT 2011'!$D$2:$D$730)</f>
        <v>1524346</v>
      </c>
    </row>
    <row r="681" spans="1:4" ht="25.5">
      <c r="A681" s="361" t="s">
        <v>683</v>
      </c>
      <c r="B681" s="361" t="s">
        <v>684</v>
      </c>
      <c r="C681" s="366" t="s">
        <v>178</v>
      </c>
      <c r="D681" s="278">
        <f>LOOKUP(A681,'[4]PT OCT 2011'!$A$2:$A$730,'[4]PT OCT 2011'!$D$2:$D$730)</f>
        <v>1203071.6</v>
      </c>
    </row>
    <row r="682" spans="1:4" ht="15">
      <c r="A682" s="361" t="s">
        <v>685</v>
      </c>
      <c r="B682" s="361" t="s">
        <v>686</v>
      </c>
      <c r="C682" s="366" t="s">
        <v>178</v>
      </c>
      <c r="D682" s="278">
        <f>LOOKUP(A682,'[4]PT OCT 2011'!$A$2:$A$730,'[4]PT OCT 2011'!$D$2:$D$730)</f>
        <v>1500</v>
      </c>
    </row>
    <row r="683" spans="1:4" ht="15">
      <c r="A683" s="361" t="s">
        <v>687</v>
      </c>
      <c r="B683" s="361" t="s">
        <v>688</v>
      </c>
      <c r="C683" s="366" t="s">
        <v>178</v>
      </c>
      <c r="D683" s="278">
        <f>LOOKUP(A683,'[4]PT OCT 2011'!$A$2:$A$730,'[4]PT OCT 2011'!$D$2:$D$730)</f>
        <v>300</v>
      </c>
    </row>
    <row r="684" spans="1:4" ht="15">
      <c r="A684" s="361" t="s">
        <v>689</v>
      </c>
      <c r="B684" s="361" t="s">
        <v>690</v>
      </c>
      <c r="C684" s="366" t="s">
        <v>178</v>
      </c>
      <c r="D684" s="278">
        <f>LOOKUP(A684,'[4]PT OCT 2011'!$A$2:$A$730,'[4]PT OCT 2011'!$D$2:$D$730)</f>
        <v>14000</v>
      </c>
    </row>
    <row r="685" spans="1:4" ht="15">
      <c r="A685" s="361" t="s">
        <v>691</v>
      </c>
      <c r="B685" s="361" t="s">
        <v>692</v>
      </c>
      <c r="C685" s="366" t="s">
        <v>348</v>
      </c>
      <c r="D685" s="278">
        <f>LOOKUP(A685,'[4]PT OCT 2011'!$A$2:$A$730,'[4]PT OCT 2011'!$D$2:$D$730)</f>
        <v>4.94</v>
      </c>
    </row>
    <row r="686" spans="1:4" ht="15">
      <c r="A686" s="361" t="s">
        <v>693</v>
      </c>
      <c r="B686" s="361" t="s">
        <v>694</v>
      </c>
      <c r="C686" s="366" t="s">
        <v>348</v>
      </c>
      <c r="D686" s="278">
        <f>LOOKUP(A686,'[4]PT OCT 2011'!$A$2:$A$730,'[4]PT OCT 2011'!$D$2:$D$730)</f>
        <v>5.57</v>
      </c>
    </row>
    <row r="687" spans="1:4" ht="15">
      <c r="A687" s="361" t="s">
        <v>1058</v>
      </c>
      <c r="B687" s="361" t="s">
        <v>1057</v>
      </c>
      <c r="C687" s="366" t="s">
        <v>2005</v>
      </c>
      <c r="D687" s="278">
        <f>LOOKUP(A687,'[4]PT OCT 2011'!$A$2:$A$730,'[4]PT OCT 2011'!$D$2:$D$730)</f>
        <v>3.26</v>
      </c>
    </row>
    <row r="688" spans="1:4" ht="26.25" customHeight="1">
      <c r="A688" s="361" t="s">
        <v>695</v>
      </c>
      <c r="B688" s="361" t="s">
        <v>696</v>
      </c>
      <c r="C688" s="366" t="s">
        <v>178</v>
      </c>
      <c r="D688" s="278">
        <f>LOOKUP(A688,'[4]PT OCT 2011'!$A$2:$A$730,'[4]PT OCT 2011'!$D$2:$D$730)</f>
        <v>671554.96</v>
      </c>
    </row>
    <row r="689" spans="1:4" ht="25.5">
      <c r="A689" s="361" t="s">
        <v>697</v>
      </c>
      <c r="B689" s="361" t="s">
        <v>698</v>
      </c>
      <c r="C689" s="366" t="s">
        <v>178</v>
      </c>
      <c r="D689" s="278">
        <f>LOOKUP(A689,'[4]PT OCT 2011'!$A$2:$A$730,'[4]PT OCT 2011'!$D$2:$D$730)</f>
        <v>1851245</v>
      </c>
    </row>
    <row r="690" spans="1:4" ht="25.5">
      <c r="A690" s="361" t="s">
        <v>699</v>
      </c>
      <c r="B690" s="361" t="s">
        <v>700</v>
      </c>
      <c r="C690" s="366" t="s">
        <v>178</v>
      </c>
      <c r="D690" s="278">
        <f>LOOKUP(A690,'[4]PT OCT 2011'!$A$2:$A$730,'[4]PT OCT 2011'!$D$2:$D$730)</f>
        <v>641897.5</v>
      </c>
    </row>
    <row r="691" spans="1:4" ht="27.75" customHeight="1">
      <c r="A691" s="361" t="s">
        <v>701</v>
      </c>
      <c r="B691" s="361" t="s">
        <v>702</v>
      </c>
      <c r="C691" s="366" t="s">
        <v>397</v>
      </c>
      <c r="D691" s="278">
        <f>LOOKUP(A691,'[4]PT OCT 2011'!$A$2:$A$730,'[4]PT OCT 2011'!$D$2:$D$730)</f>
        <v>400</v>
      </c>
    </row>
    <row r="692" spans="1:4" ht="15">
      <c r="A692" s="361" t="s">
        <v>703</v>
      </c>
      <c r="B692" s="361" t="s">
        <v>704</v>
      </c>
      <c r="C692" s="366" t="s">
        <v>2005</v>
      </c>
      <c r="D692" s="278">
        <f>LOOKUP(A692,'[4]PT OCT 2011'!$A$2:$A$730,'[4]PT OCT 2011'!$D$2:$D$730)</f>
        <v>30.3967</v>
      </c>
    </row>
    <row r="693" spans="1:4" ht="15">
      <c r="A693" s="361" t="s">
        <v>705</v>
      </c>
      <c r="B693" s="361" t="s">
        <v>706</v>
      </c>
      <c r="C693" s="366" t="s">
        <v>178</v>
      </c>
      <c r="D693" s="278">
        <f>LOOKUP(A693,'[4]PT OCT 2011'!$A$2:$A$730,'[4]PT OCT 2011'!$D$2:$D$730)</f>
        <v>51.2633</v>
      </c>
    </row>
    <row r="694" spans="1:4" ht="15">
      <c r="A694" s="361" t="s">
        <v>707</v>
      </c>
      <c r="B694" s="361" t="s">
        <v>708</v>
      </c>
      <c r="C694" s="366" t="s">
        <v>178</v>
      </c>
      <c r="D694" s="278">
        <f>LOOKUP(A694,'[4]PT OCT 2011'!$A$2:$A$730,'[4]PT OCT 2011'!$D$2:$D$730)</f>
        <v>71.57</v>
      </c>
    </row>
    <row r="695" spans="1:4" ht="15">
      <c r="A695" s="361" t="s">
        <v>709</v>
      </c>
      <c r="B695" s="361" t="s">
        <v>710</v>
      </c>
      <c r="C695" s="366" t="s">
        <v>1849</v>
      </c>
      <c r="D695" s="278">
        <f>LOOKUP(A695,'[4]PT OCT 2011'!$A$2:$A$730,'[4]PT OCT 2011'!$D$2:$D$730)</f>
        <v>1.61</v>
      </c>
    </row>
    <row r="696" spans="1:4" ht="15">
      <c r="A696" s="361" t="s">
        <v>711</v>
      </c>
      <c r="B696" s="361" t="s">
        <v>712</v>
      </c>
      <c r="C696" s="366" t="s">
        <v>1849</v>
      </c>
      <c r="D696" s="278">
        <f>LOOKUP(A696,'[4]PT OCT 2011'!$A$2:$A$730,'[4]PT OCT 2011'!$D$2:$D$730)</f>
        <v>4.585</v>
      </c>
    </row>
    <row r="697" spans="1:4" ht="15">
      <c r="A697" s="361" t="s">
        <v>713</v>
      </c>
      <c r="B697" s="361" t="s">
        <v>714</v>
      </c>
      <c r="C697" s="366" t="s">
        <v>178</v>
      </c>
      <c r="D697" s="278">
        <f>LOOKUP(A697,'[4]PT OCT 2011'!$A$2:$A$730,'[4]PT OCT 2011'!$D$2:$D$730)</f>
        <v>21.49</v>
      </c>
    </row>
    <row r="698" spans="1:4" ht="15">
      <c r="A698" s="361" t="s">
        <v>715</v>
      </c>
      <c r="B698" s="361" t="s">
        <v>716</v>
      </c>
      <c r="C698" s="366" t="s">
        <v>1849</v>
      </c>
      <c r="D698" s="278">
        <f>LOOKUP(A698,'[4]PT OCT 2011'!$A$2:$A$730,'[4]PT OCT 2011'!$D$2:$D$730)</f>
        <v>90.08</v>
      </c>
    </row>
    <row r="699" spans="1:17" ht="15">
      <c r="A699" s="378" t="s">
        <v>717</v>
      </c>
      <c r="B699" s="378" t="s">
        <v>718</v>
      </c>
      <c r="C699" s="379" t="s">
        <v>1849</v>
      </c>
      <c r="D699" s="278">
        <v>52.05</v>
      </c>
      <c r="Q699" s="15">
        <v>52.05</v>
      </c>
    </row>
    <row r="700" spans="1:4" ht="15">
      <c r="A700" s="361" t="s">
        <v>1337</v>
      </c>
      <c r="B700" s="361" t="s">
        <v>719</v>
      </c>
      <c r="C700" s="366" t="s">
        <v>178</v>
      </c>
      <c r="D700" s="278">
        <f>LOOKUP(A700,'[4]PT OCT 2011'!$A$2:$A$730,'[4]PT OCT 2011'!$D$2:$D$730)</f>
        <v>16.045</v>
      </c>
    </row>
    <row r="701" spans="1:4" ht="15">
      <c r="A701" s="361" t="s">
        <v>1338</v>
      </c>
      <c r="B701" s="361" t="s">
        <v>1350</v>
      </c>
      <c r="C701" s="366" t="s">
        <v>178</v>
      </c>
      <c r="D701" s="278">
        <f>LOOKUP(A701,'[4]PT OCT 2011'!$A$2:$A$730,'[4]PT OCT 2011'!$D$2:$D$730)</f>
        <v>91.54</v>
      </c>
    </row>
    <row r="702" spans="1:4" ht="15">
      <c r="A702" s="361" t="s">
        <v>720</v>
      </c>
      <c r="B702" s="361" t="s">
        <v>721</v>
      </c>
      <c r="C702" s="366" t="s">
        <v>1849</v>
      </c>
      <c r="D702" s="278">
        <f>LOOKUP(A702,'[4]PT OCT 2011'!$A$2:$A$730,'[4]PT OCT 2011'!$D$2:$D$730)</f>
        <v>27.745</v>
      </c>
    </row>
    <row r="703" spans="1:4" ht="15">
      <c r="A703" s="361" t="s">
        <v>1341</v>
      </c>
      <c r="B703" s="361" t="s">
        <v>722</v>
      </c>
      <c r="C703" s="366" t="s">
        <v>178</v>
      </c>
      <c r="D703" s="278">
        <f>LOOKUP(A703,'[4]PT OCT 2011'!$A$2:$A$730,'[4]PT OCT 2011'!$D$2:$D$730)</f>
        <v>7.27</v>
      </c>
    </row>
    <row r="704" spans="1:4" ht="15">
      <c r="A704" s="361" t="s">
        <v>1344</v>
      </c>
      <c r="B704" s="361" t="s">
        <v>723</v>
      </c>
      <c r="C704" s="366" t="s">
        <v>178</v>
      </c>
      <c r="D704" s="278">
        <f>LOOKUP(A704,'[4]PT OCT 2011'!$A$2:$A$730,'[4]PT OCT 2011'!$D$2:$D$730)</f>
        <v>8.77</v>
      </c>
    </row>
    <row r="705" spans="1:4" ht="15">
      <c r="A705" s="361" t="s">
        <v>1345</v>
      </c>
      <c r="B705" s="361" t="s">
        <v>724</v>
      </c>
      <c r="C705" s="366" t="s">
        <v>178</v>
      </c>
      <c r="D705" s="278">
        <f>LOOKUP(A705,'[4]PT OCT 2011'!$A$2:$A$730,'[4]PT OCT 2011'!$D$2:$D$730)</f>
        <v>12.48</v>
      </c>
    </row>
    <row r="706" spans="1:4" ht="15">
      <c r="A706" s="361" t="s">
        <v>1346</v>
      </c>
      <c r="B706" s="361" t="s">
        <v>725</v>
      </c>
      <c r="C706" s="366" t="s">
        <v>178</v>
      </c>
      <c r="D706" s="278">
        <f>LOOKUP(A706,'[4]PT OCT 2011'!$A$2:$A$730,'[4]PT OCT 2011'!$D$2:$D$730)</f>
        <v>20.535</v>
      </c>
    </row>
    <row r="707" spans="1:4" ht="15">
      <c r="A707" s="361" t="s">
        <v>726</v>
      </c>
      <c r="B707" s="361" t="s">
        <v>727</v>
      </c>
      <c r="C707" s="366" t="s">
        <v>178</v>
      </c>
      <c r="D707" s="278">
        <f>LOOKUP(A707,'[4]PT OCT 2011'!$A$2:$A$730,'[4]PT OCT 2011'!$D$2:$D$730)</f>
        <v>117.375</v>
      </c>
    </row>
    <row r="708" spans="1:4" ht="15">
      <c r="A708" s="361" t="s">
        <v>728</v>
      </c>
      <c r="B708" s="361" t="s">
        <v>729</v>
      </c>
      <c r="C708" s="366" t="s">
        <v>178</v>
      </c>
      <c r="D708" s="278">
        <f>LOOKUP(A708,'[4]PT OCT 2011'!$A$2:$A$730,'[4]PT OCT 2011'!$D$2:$D$730)</f>
        <v>25.255</v>
      </c>
    </row>
    <row r="709" spans="1:4" ht="15">
      <c r="A709" s="361" t="s">
        <v>730</v>
      </c>
      <c r="B709" s="361" t="s">
        <v>731</v>
      </c>
      <c r="C709" s="366" t="s">
        <v>178</v>
      </c>
      <c r="D709" s="278">
        <f>LOOKUP(A709,'[4]PT OCT 2011'!$A$2:$A$730,'[4]PT OCT 2011'!$D$2:$D$730)</f>
        <v>21.905</v>
      </c>
    </row>
    <row r="710" spans="1:4" ht="15">
      <c r="A710" s="361" t="s">
        <v>732</v>
      </c>
      <c r="B710" s="361" t="s">
        <v>733</v>
      </c>
      <c r="C710" s="366" t="s">
        <v>178</v>
      </c>
      <c r="D710" s="278">
        <f>LOOKUP(A710,'[4]PT OCT 2011'!$A$2:$A$730,'[4]PT OCT 2011'!$D$2:$D$730)</f>
        <v>2.82</v>
      </c>
    </row>
    <row r="711" spans="1:4" ht="15">
      <c r="A711" s="361" t="s">
        <v>734</v>
      </c>
      <c r="B711" s="361" t="s">
        <v>735</v>
      </c>
      <c r="C711" s="366" t="s">
        <v>1849</v>
      </c>
      <c r="D711" s="278">
        <f>LOOKUP(A711,'[4]PT OCT 2011'!$A$2:$A$730,'[4]PT OCT 2011'!$D$2:$D$730)</f>
        <v>3.61</v>
      </c>
    </row>
    <row r="712" spans="1:4" ht="15">
      <c r="A712" s="361" t="s">
        <v>736</v>
      </c>
      <c r="B712" s="361" t="s">
        <v>737</v>
      </c>
      <c r="C712" s="366" t="s">
        <v>1849</v>
      </c>
      <c r="D712" s="278">
        <f>LOOKUP(A712,'[4]PT OCT 2011'!$A$2:$A$730,'[4]PT OCT 2011'!$D$2:$D$730)</f>
        <v>14.17</v>
      </c>
    </row>
    <row r="713" spans="1:4" ht="15">
      <c r="A713" s="361" t="s">
        <v>738</v>
      </c>
      <c r="B713" s="361" t="s">
        <v>739</v>
      </c>
      <c r="C713" s="366" t="s">
        <v>1849</v>
      </c>
      <c r="D713" s="278">
        <f>LOOKUP(A713,'[4]PT OCT 2011'!$A$2:$A$730,'[4]PT OCT 2011'!$D$2:$D$730)</f>
        <v>23.17</v>
      </c>
    </row>
    <row r="714" spans="1:4" ht="15">
      <c r="A714" s="361" t="s">
        <v>740</v>
      </c>
      <c r="B714" s="361" t="s">
        <v>741</v>
      </c>
      <c r="C714" s="366" t="s">
        <v>1849</v>
      </c>
      <c r="D714" s="278">
        <f>LOOKUP(A714,'[4]PT OCT 2011'!$A$2:$A$730,'[4]PT OCT 2011'!$D$2:$D$730)</f>
        <v>46.75</v>
      </c>
    </row>
    <row r="715" spans="1:4" ht="15">
      <c r="A715" s="361" t="s">
        <v>742</v>
      </c>
      <c r="B715" s="361" t="s">
        <v>743</v>
      </c>
      <c r="C715" s="366" t="s">
        <v>178</v>
      </c>
      <c r="D715" s="278">
        <f>LOOKUP(A715,'[4]PT OCT 2011'!$A$2:$A$730,'[4]PT OCT 2011'!$D$2:$D$730)</f>
        <v>0.87</v>
      </c>
    </row>
    <row r="716" spans="1:4" ht="15">
      <c r="A716" s="361" t="s">
        <v>744</v>
      </c>
      <c r="B716" s="361" t="s">
        <v>745</v>
      </c>
      <c r="C716" s="366" t="s">
        <v>178</v>
      </c>
      <c r="D716" s="278">
        <f>LOOKUP(A716,'[4]PT OCT 2011'!$A$2:$A$730,'[4]PT OCT 2011'!$D$2:$D$730)</f>
        <v>1.74</v>
      </c>
    </row>
    <row r="717" spans="1:4" ht="15">
      <c r="A717" s="361" t="s">
        <v>746</v>
      </c>
      <c r="B717" s="361" t="s">
        <v>747</v>
      </c>
      <c r="C717" s="366" t="s">
        <v>178</v>
      </c>
      <c r="D717" s="278">
        <f>LOOKUP(A717,'[4]PT OCT 2011'!$A$2:$A$730,'[4]PT OCT 2011'!$D$2:$D$730)</f>
        <v>17.5</v>
      </c>
    </row>
    <row r="718" spans="1:4" ht="15">
      <c r="A718" s="361" t="s">
        <v>748</v>
      </c>
      <c r="B718" s="361" t="s">
        <v>749</v>
      </c>
      <c r="C718" s="366" t="s">
        <v>178</v>
      </c>
      <c r="D718" s="278">
        <f>LOOKUP(A718,'[4]PT OCT 2011'!$A$2:$A$730,'[4]PT OCT 2011'!$D$2:$D$730)</f>
        <v>71.59</v>
      </c>
    </row>
    <row r="719" spans="1:4" ht="15">
      <c r="A719" s="361" t="s">
        <v>750</v>
      </c>
      <c r="B719" s="361" t="s">
        <v>751</v>
      </c>
      <c r="C719" s="366" t="s">
        <v>178</v>
      </c>
      <c r="D719" s="278">
        <f>LOOKUP(A719,'[4]PT OCT 2011'!$A$2:$A$730,'[4]PT OCT 2011'!$D$2:$D$730)</f>
        <v>72.62</v>
      </c>
    </row>
    <row r="720" spans="1:4" ht="15">
      <c r="A720" s="361" t="s">
        <v>752</v>
      </c>
      <c r="B720" s="361" t="s">
        <v>753</v>
      </c>
      <c r="C720" s="366" t="s">
        <v>178</v>
      </c>
      <c r="D720" s="278">
        <f>LOOKUP(A720,'[4]PT OCT 2011'!$A$2:$A$730,'[4]PT OCT 2011'!$D$2:$D$730)</f>
        <v>153.75</v>
      </c>
    </row>
    <row r="721" spans="1:4" ht="15">
      <c r="A721" s="361" t="s">
        <v>754</v>
      </c>
      <c r="B721" s="361" t="s">
        <v>755</v>
      </c>
      <c r="C721" s="366" t="s">
        <v>178</v>
      </c>
      <c r="D721" s="278">
        <f>LOOKUP(A721,'[4]PT OCT 2011'!$A$2:$A$730,'[4]PT OCT 2011'!$D$2:$D$730)</f>
        <v>7.25</v>
      </c>
    </row>
    <row r="722" spans="1:4" ht="15">
      <c r="A722" s="361" t="s">
        <v>756</v>
      </c>
      <c r="B722" s="361" t="s">
        <v>757</v>
      </c>
      <c r="C722" s="366" t="s">
        <v>178</v>
      </c>
      <c r="D722" s="278">
        <f>LOOKUP(A722,'[4]PT OCT 2011'!$A$2:$A$730,'[4]PT OCT 2011'!$D$2:$D$730)</f>
        <v>3.92</v>
      </c>
    </row>
    <row r="723" spans="1:4" ht="15">
      <c r="A723" s="361" t="s">
        <v>758</v>
      </c>
      <c r="B723" s="361" t="s">
        <v>759</v>
      </c>
      <c r="C723" s="366" t="s">
        <v>178</v>
      </c>
      <c r="D723" s="278">
        <f>LOOKUP(A723,'[4]PT OCT 2011'!$A$2:$A$730,'[4]PT OCT 2011'!$D$2:$D$730)</f>
        <v>18.13</v>
      </c>
    </row>
    <row r="724" spans="1:4" ht="15">
      <c r="A724" s="361" t="s">
        <v>760</v>
      </c>
      <c r="B724" s="361" t="s">
        <v>1349</v>
      </c>
      <c r="C724" s="366" t="s">
        <v>178</v>
      </c>
      <c r="D724" s="278">
        <f>LOOKUP(A724,'[4]PT OCT 2011'!$A$2:$A$730,'[4]PT OCT 2011'!$D$2:$D$730)</f>
        <v>69.335</v>
      </c>
    </row>
    <row r="725" spans="1:4" ht="15">
      <c r="A725" s="361" t="s">
        <v>761</v>
      </c>
      <c r="B725" s="361" t="s">
        <v>762</v>
      </c>
      <c r="C725" s="366" t="s">
        <v>178</v>
      </c>
      <c r="D725" s="278">
        <f>LOOKUP(A725,'[4]PT OCT 2011'!$A$2:$A$730,'[4]PT OCT 2011'!$D$2:$D$730)</f>
        <v>55.37</v>
      </c>
    </row>
    <row r="726" spans="1:4" ht="15">
      <c r="A726" s="361" t="s">
        <v>763</v>
      </c>
      <c r="B726" s="361" t="s">
        <v>764</v>
      </c>
      <c r="C726" s="366" t="s">
        <v>178</v>
      </c>
      <c r="D726" s="278">
        <f>LOOKUP(A726,'[4]PT OCT 2011'!$A$2:$A$730,'[4]PT OCT 2011'!$D$2:$D$730)</f>
        <v>134.71</v>
      </c>
    </row>
    <row r="727" spans="1:4" ht="15">
      <c r="A727" s="361" t="s">
        <v>765</v>
      </c>
      <c r="B727" s="361" t="s">
        <v>766</v>
      </c>
      <c r="C727" s="366" t="s">
        <v>1987</v>
      </c>
      <c r="D727" s="278">
        <f>LOOKUP(A727,'[4]PT OCT 2011'!$A$2:$A$730,'[4]PT OCT 2011'!$D$2:$D$730)</f>
        <v>900</v>
      </c>
    </row>
    <row r="728" spans="1:4" ht="15">
      <c r="A728" s="361" t="s">
        <v>767</v>
      </c>
      <c r="B728" s="361" t="s">
        <v>768</v>
      </c>
      <c r="C728" s="366" t="s">
        <v>178</v>
      </c>
      <c r="D728" s="278">
        <f>LOOKUP(A728,'[4]PT OCT 2011'!$A$2:$A$730,'[4]PT OCT 2011'!$D$2:$D$730)</f>
        <v>4.2</v>
      </c>
    </row>
    <row r="729" spans="1:4" ht="15">
      <c r="A729" s="361" t="s">
        <v>769</v>
      </c>
      <c r="B729" s="361" t="s">
        <v>770</v>
      </c>
      <c r="C729" s="366" t="s">
        <v>178</v>
      </c>
      <c r="D729" s="278">
        <f>LOOKUP(A729,'[4]PT OCT 2011'!$A$2:$A$730,'[4]PT OCT 2011'!$D$2:$D$730)</f>
        <v>4.69</v>
      </c>
    </row>
    <row r="730" spans="1:4" ht="15">
      <c r="A730" s="361" t="s">
        <v>771</v>
      </c>
      <c r="B730" s="361" t="s">
        <v>772</v>
      </c>
      <c r="C730" s="366" t="s">
        <v>178</v>
      </c>
      <c r="D730" s="278">
        <f>LOOKUP(A730,'[4]PT OCT 2011'!$A$2:$A$730,'[4]PT OCT 2011'!$D$2:$D$730)</f>
        <v>9.5</v>
      </c>
    </row>
    <row r="731" spans="1:4" ht="15">
      <c r="A731" s="361" t="s">
        <v>773</v>
      </c>
      <c r="B731" s="361" t="s">
        <v>774</v>
      </c>
      <c r="C731" s="366" t="s">
        <v>1987</v>
      </c>
      <c r="D731" s="278">
        <f>LOOKUP(A731,'[4]PT OCT 2011'!$A$2:$A$730,'[4]PT OCT 2011'!$D$2:$D$730)</f>
        <v>1500</v>
      </c>
    </row>
    <row r="732" spans="1:4" ht="15">
      <c r="A732" s="361" t="s">
        <v>775</v>
      </c>
      <c r="B732" s="361" t="s">
        <v>776</v>
      </c>
      <c r="C732" s="366" t="s">
        <v>1987</v>
      </c>
      <c r="D732" s="278">
        <f>LOOKUP(A732,'[4]PT OCT 2011'!$A$2:$A$730,'[4]PT OCT 2011'!$D$2:$D$730)</f>
        <v>1600</v>
      </c>
    </row>
    <row r="733" spans="1:4" ht="15">
      <c r="A733" s="361" t="s">
        <v>777</v>
      </c>
      <c r="B733" s="361" t="s">
        <v>778</v>
      </c>
      <c r="C733" s="366" t="s">
        <v>1987</v>
      </c>
      <c r="D733" s="278">
        <f>LOOKUP(A733,'[4]PT OCT 2011'!$A$2:$A$730,'[4]PT OCT 2011'!$D$2:$D$730)</f>
        <v>1600</v>
      </c>
    </row>
    <row r="734" spans="1:4" ht="15">
      <c r="A734" s="361" t="s">
        <v>779</v>
      </c>
      <c r="B734" s="361" t="s">
        <v>780</v>
      </c>
      <c r="C734" s="366" t="s">
        <v>1987</v>
      </c>
      <c r="D734" s="278">
        <f>LOOKUP(A734,'[4]PT OCT 2011'!$A$2:$A$730,'[4]PT OCT 2011'!$D$2:$D$730)</f>
        <v>1200</v>
      </c>
    </row>
    <row r="735" spans="1:4" ht="25.5">
      <c r="A735" s="361" t="s">
        <v>781</v>
      </c>
      <c r="B735" s="361" t="s">
        <v>782</v>
      </c>
      <c r="C735" s="366" t="s">
        <v>2005</v>
      </c>
      <c r="D735" s="278">
        <f>LOOKUP(A735,'[4]PT OCT 2011'!$A$2:$A$730,'[4]PT OCT 2011'!$D$2:$D$730)</f>
        <v>1.525</v>
      </c>
    </row>
    <row r="736" spans="1:4" ht="15">
      <c r="A736" s="361" t="s">
        <v>783</v>
      </c>
      <c r="B736" s="361" t="s">
        <v>784</v>
      </c>
      <c r="C736" s="366" t="s">
        <v>2005</v>
      </c>
      <c r="D736" s="278">
        <f>LOOKUP(A736,'[4]PT OCT 2011'!$A$2:$A$730,'[4]PT OCT 2011'!$D$2:$D$730)</f>
        <v>6.79</v>
      </c>
    </row>
    <row r="737" spans="1:4" ht="15">
      <c r="A737" s="361" t="s">
        <v>785</v>
      </c>
      <c r="B737" s="361" t="s">
        <v>786</v>
      </c>
      <c r="C737" s="366" t="s">
        <v>2005</v>
      </c>
      <c r="D737" s="278">
        <f>LOOKUP(A737,'[4]PT OCT 2011'!$A$2:$A$730,'[4]PT OCT 2011'!$D$2:$D$730)</f>
        <v>6.79</v>
      </c>
    </row>
    <row r="738" spans="1:4" ht="15">
      <c r="A738" s="361" t="s">
        <v>787</v>
      </c>
      <c r="B738" s="361" t="s">
        <v>788</v>
      </c>
      <c r="C738" s="366" t="s">
        <v>2005</v>
      </c>
      <c r="D738" s="278">
        <f>LOOKUP(A738,'[4]PT OCT 2011'!$A$2:$A$730,'[4]PT OCT 2011'!$D$2:$D$730)</f>
        <v>1.13</v>
      </c>
    </row>
    <row r="739" spans="1:4" ht="15">
      <c r="A739" s="361" t="s">
        <v>789</v>
      </c>
      <c r="B739" s="361" t="s">
        <v>790</v>
      </c>
      <c r="C739" s="366" t="s">
        <v>2005</v>
      </c>
      <c r="D739" s="278">
        <f>LOOKUP(A739,'[4]PT OCT 2011'!$A$2:$A$730,'[4]PT OCT 2011'!$D$2:$D$730)</f>
        <v>22.47</v>
      </c>
    </row>
    <row r="740" spans="1:4" ht="15">
      <c r="A740" s="361" t="s">
        <v>791</v>
      </c>
      <c r="B740" s="361" t="s">
        <v>792</v>
      </c>
      <c r="C740" s="366" t="s">
        <v>178</v>
      </c>
      <c r="D740" s="278">
        <f>LOOKUP(A740,'[4]PT OCT 2011'!$A$2:$A$730,'[4]PT OCT 2011'!$D$2:$D$730)</f>
        <v>39.67</v>
      </c>
    </row>
    <row r="741" spans="1:4" ht="15">
      <c r="A741" s="361" t="s">
        <v>793</v>
      </c>
      <c r="B741" s="361" t="s">
        <v>794</v>
      </c>
      <c r="C741" s="366" t="s">
        <v>178</v>
      </c>
      <c r="D741" s="278">
        <f>LOOKUP(A741,'[4]PT OCT 2011'!$A$2:$A$730,'[4]PT OCT 2011'!$D$2:$D$730)</f>
        <v>6.62</v>
      </c>
    </row>
    <row r="742" spans="1:4" ht="28.5" customHeight="1">
      <c r="A742" s="361" t="s">
        <v>795</v>
      </c>
      <c r="B742" s="361" t="s">
        <v>796</v>
      </c>
      <c r="C742" s="366" t="s">
        <v>178</v>
      </c>
      <c r="D742" s="278">
        <f>LOOKUP(A742,'[4]PT OCT 2011'!$A$2:$A$730,'[4]PT OCT 2011'!$D$2:$D$730)</f>
        <v>347.11</v>
      </c>
    </row>
    <row r="743" spans="1:4" ht="15">
      <c r="A743" s="361" t="s">
        <v>797</v>
      </c>
      <c r="B743" s="361" t="s">
        <v>798</v>
      </c>
      <c r="C743" s="366" t="s">
        <v>178</v>
      </c>
      <c r="D743" s="278">
        <f>LOOKUP(A743,'[4]PT OCT 2011'!$A$2:$A$730,'[4]PT OCT 2011'!$D$2:$D$730)</f>
        <v>210.74</v>
      </c>
    </row>
    <row r="744" spans="1:4" ht="15">
      <c r="A744" s="361" t="s">
        <v>799</v>
      </c>
      <c r="B744" s="361" t="s">
        <v>1055</v>
      </c>
      <c r="C744" s="366" t="s">
        <v>178</v>
      </c>
      <c r="D744" s="278">
        <f>LOOKUP(A744,'[4]PT OCT 2011'!$A$2:$A$730,'[4]PT OCT 2011'!$D$2:$D$730)</f>
        <v>20.84</v>
      </c>
    </row>
    <row r="745" spans="1:4" ht="15">
      <c r="A745" s="361" t="s">
        <v>800</v>
      </c>
      <c r="B745" s="361" t="s">
        <v>801</v>
      </c>
      <c r="C745" s="366" t="s">
        <v>1849</v>
      </c>
      <c r="D745" s="278">
        <f>LOOKUP(A745,'[4]PT OCT 2011'!$A$2:$A$730,'[4]PT OCT 2011'!$D$2:$D$730)</f>
        <v>1.78</v>
      </c>
    </row>
    <row r="746" spans="1:4" ht="29.25" customHeight="1">
      <c r="A746" s="361" t="s">
        <v>802</v>
      </c>
      <c r="B746" s="361" t="s">
        <v>803</v>
      </c>
      <c r="C746" s="366" t="s">
        <v>178</v>
      </c>
      <c r="D746" s="278">
        <f>LOOKUP(A746,'[4]PT OCT 2011'!$A$2:$A$730,'[4]PT OCT 2011'!$D$2:$D$730)</f>
        <v>10079.72</v>
      </c>
    </row>
    <row r="747" spans="1:4" ht="25.5">
      <c r="A747" s="361" t="s">
        <v>804</v>
      </c>
      <c r="B747" s="361" t="s">
        <v>805</v>
      </c>
      <c r="C747" s="366" t="s">
        <v>178</v>
      </c>
      <c r="D747" s="278">
        <f>LOOKUP(A747,'[4]PT OCT 2011'!$A$2:$A$730,'[4]PT OCT 2011'!$D$2:$D$730)</f>
        <v>12766.25</v>
      </c>
    </row>
    <row r="748" spans="1:4" ht="15">
      <c r="A748" s="361" t="s">
        <v>806</v>
      </c>
      <c r="B748" s="361" t="s">
        <v>807</v>
      </c>
      <c r="C748" s="366" t="s">
        <v>178</v>
      </c>
      <c r="D748" s="278">
        <f>LOOKUP(A748,'[4]PT OCT 2011'!$A$2:$A$730,'[4]PT OCT 2011'!$D$2:$D$730)</f>
        <v>8397.63</v>
      </c>
    </row>
    <row r="749" spans="1:4" ht="15">
      <c r="A749" s="361" t="s">
        <v>808</v>
      </c>
      <c r="B749" s="361" t="s">
        <v>809</v>
      </c>
      <c r="C749" s="366" t="s">
        <v>178</v>
      </c>
      <c r="D749" s="278">
        <f>LOOKUP(A749,'[4]PT OCT 2011'!$A$2:$A$730,'[4]PT OCT 2011'!$D$2:$D$730)</f>
        <v>11584.18</v>
      </c>
    </row>
    <row r="750" spans="1:4" ht="15">
      <c r="A750" s="361" t="s">
        <v>810</v>
      </c>
      <c r="B750" s="361" t="s">
        <v>811</v>
      </c>
      <c r="C750" s="366" t="s">
        <v>178</v>
      </c>
      <c r="D750" s="278">
        <f>LOOKUP(A750,'[4]PT OCT 2011'!$A$2:$A$730,'[4]PT OCT 2011'!$D$2:$D$730)</f>
        <v>977.26</v>
      </c>
    </row>
    <row r="751" spans="1:4" ht="15">
      <c r="A751" s="361" t="s">
        <v>812</v>
      </c>
      <c r="B751" s="361" t="s">
        <v>813</v>
      </c>
      <c r="C751" s="366" t="s">
        <v>348</v>
      </c>
      <c r="D751" s="278">
        <f>LOOKUP(A751,'[4]PT OCT 2011'!$A$2:$A$730,'[4]PT OCT 2011'!$D$2:$D$730)</f>
        <v>11.1333</v>
      </c>
    </row>
    <row r="752" spans="1:4" ht="15">
      <c r="A752" s="361" t="s">
        <v>814</v>
      </c>
      <c r="B752" s="361" t="s">
        <v>815</v>
      </c>
      <c r="C752" s="366" t="s">
        <v>348</v>
      </c>
      <c r="D752" s="278">
        <f>LOOKUP(A752,'[4]PT OCT 2011'!$A$2:$A$730,'[4]PT OCT 2011'!$D$2:$D$730)</f>
        <v>50.31</v>
      </c>
    </row>
    <row r="753" spans="1:4" ht="15">
      <c r="A753" s="361" t="s">
        <v>816</v>
      </c>
      <c r="B753" s="361" t="s">
        <v>817</v>
      </c>
      <c r="C753" s="366" t="s">
        <v>348</v>
      </c>
      <c r="D753" s="278">
        <f>LOOKUP(A753,'[4]PT OCT 2011'!$A$2:$A$730,'[4]PT OCT 2011'!$D$2:$D$730)</f>
        <v>41.4933</v>
      </c>
    </row>
    <row r="754" spans="1:4" ht="15">
      <c r="A754" s="361" t="s">
        <v>818</v>
      </c>
      <c r="B754" s="361" t="s">
        <v>819</v>
      </c>
      <c r="C754" s="366" t="s">
        <v>178</v>
      </c>
      <c r="D754" s="278">
        <f>LOOKUP(A754,'[4]PT OCT 2011'!$A$2:$A$730,'[4]PT OCT 2011'!$D$2:$D$730)</f>
        <v>173.515</v>
      </c>
    </row>
    <row r="755" spans="1:4" ht="15">
      <c r="A755" s="361" t="s">
        <v>820</v>
      </c>
      <c r="B755" s="361" t="s">
        <v>821</v>
      </c>
      <c r="C755" s="366" t="s">
        <v>348</v>
      </c>
      <c r="D755" s="278">
        <f>LOOKUP(A755,'[4]PT OCT 2011'!$A$2:$A$730,'[4]PT OCT 2011'!$D$2:$D$730)</f>
        <v>119.46</v>
      </c>
    </row>
    <row r="756" spans="1:4" ht="15">
      <c r="A756" s="361" t="s">
        <v>822</v>
      </c>
      <c r="B756" s="361" t="s">
        <v>823</v>
      </c>
      <c r="C756" s="366" t="s">
        <v>348</v>
      </c>
      <c r="D756" s="278">
        <f>LOOKUP(A756,'[4]PT OCT 2011'!$A$2:$A$730,'[4]PT OCT 2011'!$D$2:$D$730)</f>
        <v>31.75</v>
      </c>
    </row>
    <row r="757" spans="1:4" ht="15">
      <c r="A757" s="361" t="s">
        <v>824</v>
      </c>
      <c r="B757" s="361" t="s">
        <v>825</v>
      </c>
      <c r="C757" s="366" t="s">
        <v>348</v>
      </c>
      <c r="D757" s="278">
        <f>LOOKUP(A757,'[4]PT OCT 2011'!$A$2:$A$730,'[4]PT OCT 2011'!$D$2:$D$730)</f>
        <v>40.765</v>
      </c>
    </row>
    <row r="758" spans="1:4" ht="15">
      <c r="A758" s="361" t="s">
        <v>826</v>
      </c>
      <c r="B758" s="361" t="s">
        <v>827</v>
      </c>
      <c r="C758" s="366" t="s">
        <v>348</v>
      </c>
      <c r="D758" s="278">
        <f>LOOKUP(A758,'[4]PT OCT 2011'!$A$2:$A$730,'[4]PT OCT 2011'!$D$2:$D$730)</f>
        <v>28.97</v>
      </c>
    </row>
    <row r="759" spans="1:4" ht="15">
      <c r="A759" s="361" t="s">
        <v>828</v>
      </c>
      <c r="B759" s="361" t="s">
        <v>829</v>
      </c>
      <c r="C759" s="366" t="s">
        <v>178</v>
      </c>
      <c r="D759" s="278">
        <f>LOOKUP(A759,'[4]PT OCT 2011'!$A$2:$A$730,'[4]PT OCT 2011'!$D$2:$D$730)</f>
        <v>8.69</v>
      </c>
    </row>
    <row r="760" spans="1:4" ht="15">
      <c r="A760" s="361" t="s">
        <v>830</v>
      </c>
      <c r="B760" s="361" t="s">
        <v>831</v>
      </c>
      <c r="C760" s="366" t="s">
        <v>178</v>
      </c>
      <c r="D760" s="278">
        <f>LOOKUP(A760,'[4]PT OCT 2011'!$A$2:$A$730,'[4]PT OCT 2011'!$D$2:$D$730)</f>
        <v>27.85</v>
      </c>
    </row>
    <row r="761" spans="1:4" ht="15">
      <c r="A761" s="361" t="s">
        <v>832</v>
      </c>
      <c r="B761" s="361" t="s">
        <v>833</v>
      </c>
      <c r="C761" s="366" t="s">
        <v>178</v>
      </c>
      <c r="D761" s="278">
        <f>LOOKUP(A761,'[4]PT OCT 2011'!$A$2:$A$730,'[4]PT OCT 2011'!$D$2:$D$730)</f>
        <v>33.45</v>
      </c>
    </row>
    <row r="762" spans="1:4" ht="15">
      <c r="A762" s="361" t="s">
        <v>834</v>
      </c>
      <c r="B762" s="361" t="s">
        <v>835</v>
      </c>
      <c r="C762" s="366" t="s">
        <v>178</v>
      </c>
      <c r="D762" s="278">
        <f>LOOKUP(A762,'[4]PT OCT 2011'!$A$2:$A$730,'[4]PT OCT 2011'!$D$2:$D$730)</f>
        <v>27.98</v>
      </c>
    </row>
    <row r="763" spans="1:4" ht="15">
      <c r="A763" s="361" t="s">
        <v>836</v>
      </c>
      <c r="B763" s="361" t="s">
        <v>837</v>
      </c>
      <c r="C763" s="366" t="s">
        <v>178</v>
      </c>
      <c r="D763" s="278">
        <f>LOOKUP(A763,'[4]PT OCT 2011'!$A$2:$A$730,'[4]PT OCT 2011'!$D$2:$D$730)</f>
        <v>20.75</v>
      </c>
    </row>
    <row r="764" spans="1:4" ht="15">
      <c r="A764" s="361" t="s">
        <v>838</v>
      </c>
      <c r="B764" s="361" t="s">
        <v>839</v>
      </c>
      <c r="C764" s="366" t="s">
        <v>348</v>
      </c>
      <c r="D764" s="278">
        <f>LOOKUP(A764,'[4]PT OCT 2011'!$A$2:$A$730,'[4]PT OCT 2011'!$D$2:$D$730)</f>
        <v>43.74</v>
      </c>
    </row>
    <row r="765" spans="1:4" ht="15">
      <c r="A765" s="361" t="s">
        <v>840</v>
      </c>
      <c r="B765" s="361" t="s">
        <v>841</v>
      </c>
      <c r="C765" s="366" t="s">
        <v>178</v>
      </c>
      <c r="D765" s="278">
        <f>LOOKUP(A765,'[4]PT OCT 2011'!$A$2:$A$730,'[4]PT OCT 2011'!$D$2:$D$730)</f>
        <v>381.0867</v>
      </c>
    </row>
    <row r="766" spans="1:4" ht="15">
      <c r="A766" s="361" t="s">
        <v>842</v>
      </c>
      <c r="B766" s="361" t="s">
        <v>843</v>
      </c>
      <c r="C766" s="366" t="s">
        <v>178</v>
      </c>
      <c r="D766" s="278">
        <f>LOOKUP(A766,'[4]PT OCT 2011'!$A$2:$A$730,'[4]PT OCT 2011'!$D$2:$D$730)</f>
        <v>182.6733</v>
      </c>
    </row>
    <row r="767" spans="1:4" ht="15">
      <c r="A767" s="361" t="s">
        <v>844</v>
      </c>
      <c r="B767" s="361" t="s">
        <v>845</v>
      </c>
      <c r="C767" s="366" t="s">
        <v>178</v>
      </c>
      <c r="D767" s="278">
        <f>LOOKUP(A767,'[4]PT OCT 2011'!$A$2:$A$730,'[4]PT OCT 2011'!$D$2:$D$730)</f>
        <v>149.4367</v>
      </c>
    </row>
    <row r="768" spans="1:4" ht="15">
      <c r="A768" s="361" t="s">
        <v>846</v>
      </c>
      <c r="B768" s="361" t="s">
        <v>847</v>
      </c>
      <c r="C768" s="366" t="s">
        <v>178</v>
      </c>
      <c r="D768" s="278">
        <f>LOOKUP(A768,'[4]PT OCT 2011'!$A$2:$A$730,'[4]PT OCT 2011'!$D$2:$D$730)</f>
        <v>207.5</v>
      </c>
    </row>
    <row r="769" spans="1:4" ht="15">
      <c r="A769" s="361" t="s">
        <v>848</v>
      </c>
      <c r="B769" s="361" t="s">
        <v>849</v>
      </c>
      <c r="C769" s="366" t="s">
        <v>178</v>
      </c>
      <c r="D769" s="278">
        <f>LOOKUP(A769,'[4]PT OCT 2011'!$A$2:$A$730,'[4]PT OCT 2011'!$D$2:$D$730)</f>
        <v>497.77</v>
      </c>
    </row>
    <row r="770" spans="1:4" ht="15">
      <c r="A770" s="361" t="s">
        <v>850</v>
      </c>
      <c r="B770" s="361" t="s">
        <v>851</v>
      </c>
      <c r="C770" s="366" t="s">
        <v>178</v>
      </c>
      <c r="D770" s="278">
        <f>LOOKUP(A770,'[4]PT OCT 2011'!$A$2:$A$730,'[4]PT OCT 2011'!$D$2:$D$730)</f>
        <v>719.01</v>
      </c>
    </row>
    <row r="771" spans="1:4" ht="25.5">
      <c r="A771" s="361" t="s">
        <v>852</v>
      </c>
      <c r="B771" s="361" t="s">
        <v>853</v>
      </c>
      <c r="C771" s="366" t="s">
        <v>178</v>
      </c>
      <c r="D771" s="278">
        <f>LOOKUP(A771,'[4]PT OCT 2011'!$A$2:$A$730,'[4]PT OCT 2011'!$D$2:$D$730)</f>
        <v>1016.53</v>
      </c>
    </row>
    <row r="772" spans="1:4" ht="15">
      <c r="A772" s="361" t="s">
        <v>854</v>
      </c>
      <c r="B772" s="361" t="s">
        <v>855</v>
      </c>
      <c r="C772" s="366" t="s">
        <v>1849</v>
      </c>
      <c r="D772" s="278">
        <f>LOOKUP(A772,'[4]PT OCT 2011'!$A$2:$A$730,'[4]PT OCT 2011'!$D$2:$D$730)</f>
        <v>33.6</v>
      </c>
    </row>
    <row r="773" spans="1:4" ht="15">
      <c r="A773" s="361" t="s">
        <v>856</v>
      </c>
      <c r="B773" s="361" t="s">
        <v>857</v>
      </c>
      <c r="C773" s="366" t="s">
        <v>1849</v>
      </c>
      <c r="D773" s="278">
        <f>LOOKUP(A773,'[4]PT OCT 2011'!$A$2:$A$730,'[4]PT OCT 2011'!$D$2:$D$730)</f>
        <v>49.76</v>
      </c>
    </row>
    <row r="774" spans="1:4" ht="15">
      <c r="A774" s="361" t="s">
        <v>858</v>
      </c>
      <c r="B774" s="361" t="s">
        <v>859</v>
      </c>
      <c r="C774" s="366" t="s">
        <v>1849</v>
      </c>
      <c r="D774" s="278">
        <f>LOOKUP(A774,'[4]PT OCT 2011'!$A$2:$A$730,'[4]PT OCT 2011'!$D$2:$D$730)</f>
        <v>60.77</v>
      </c>
    </row>
    <row r="775" spans="1:4" ht="15">
      <c r="A775" s="361" t="s">
        <v>860</v>
      </c>
      <c r="B775" s="361" t="s">
        <v>861</v>
      </c>
      <c r="C775" s="366" t="s">
        <v>1849</v>
      </c>
      <c r="D775" s="278">
        <f>LOOKUP(A775,'[4]PT OCT 2011'!$A$2:$A$730,'[4]PT OCT 2011'!$D$2:$D$730)</f>
        <v>74.09</v>
      </c>
    </row>
    <row r="776" spans="1:4" ht="15">
      <c r="A776" s="361" t="s">
        <v>862</v>
      </c>
      <c r="B776" s="361" t="s">
        <v>863</v>
      </c>
      <c r="C776" s="366" t="s">
        <v>178</v>
      </c>
      <c r="D776" s="278">
        <f>LOOKUP(A776,'[4]PT OCT 2011'!$A$2:$A$730,'[4]PT OCT 2011'!$D$2:$D$730)</f>
        <v>98.24</v>
      </c>
    </row>
    <row r="777" spans="1:4" ht="15">
      <c r="A777" s="361" t="s">
        <v>864</v>
      </c>
      <c r="B777" s="361" t="s">
        <v>865</v>
      </c>
      <c r="C777" s="366" t="s">
        <v>1849</v>
      </c>
      <c r="D777" s="278">
        <f>LOOKUP(A777,'[4]PT OCT 2011'!$A$2:$A$730,'[4]PT OCT 2011'!$D$2:$D$730)</f>
        <v>318.26</v>
      </c>
    </row>
    <row r="778" spans="1:4" ht="15">
      <c r="A778" s="361" t="s">
        <v>866</v>
      </c>
      <c r="B778" s="361" t="s">
        <v>867</v>
      </c>
      <c r="C778" s="366" t="s">
        <v>1849</v>
      </c>
      <c r="D778" s="278">
        <f>LOOKUP(A778,'[4]PT OCT 2011'!$A$2:$A$730,'[4]PT OCT 2011'!$D$2:$D$730)</f>
        <v>367.14</v>
      </c>
    </row>
    <row r="779" spans="1:4" ht="15">
      <c r="A779" s="361" t="s">
        <v>868</v>
      </c>
      <c r="B779" s="361" t="s">
        <v>869</v>
      </c>
      <c r="C779" s="366" t="s">
        <v>1849</v>
      </c>
      <c r="D779" s="278">
        <f>LOOKUP(A779,'[4]PT OCT 2011'!$A$2:$A$730,'[4]PT OCT 2011'!$D$2:$D$730)</f>
        <v>585.17</v>
      </c>
    </row>
    <row r="780" spans="1:4" ht="15">
      <c r="A780" s="361" t="s">
        <v>870</v>
      </c>
      <c r="B780" s="361" t="s">
        <v>871</v>
      </c>
      <c r="C780" s="366" t="s">
        <v>1849</v>
      </c>
      <c r="D780" s="278">
        <f>LOOKUP(A780,'[4]PT OCT 2011'!$A$2:$A$730,'[4]PT OCT 2011'!$D$2:$D$730)</f>
        <v>718.13</v>
      </c>
    </row>
    <row r="781" spans="1:4" ht="15">
      <c r="A781" s="361" t="s">
        <v>872</v>
      </c>
      <c r="B781" s="361" t="s">
        <v>873</v>
      </c>
      <c r="C781" s="366" t="s">
        <v>1849</v>
      </c>
      <c r="D781" s="278">
        <f>LOOKUP(A781,'[4]PT OCT 2011'!$A$2:$A$730,'[4]PT OCT 2011'!$D$2:$D$730)</f>
        <v>885.65</v>
      </c>
    </row>
    <row r="782" spans="1:4" ht="15">
      <c r="A782" s="361" t="s">
        <v>874</v>
      </c>
      <c r="B782" s="361" t="s">
        <v>875</v>
      </c>
      <c r="C782" s="366" t="s">
        <v>1849</v>
      </c>
      <c r="D782" s="278">
        <f>LOOKUP(A782,'[4]PT OCT 2011'!$A$2:$A$730,'[4]PT OCT 2011'!$D$2:$D$730)</f>
        <v>1274.58</v>
      </c>
    </row>
    <row r="783" spans="1:4" ht="15">
      <c r="A783" s="361" t="s">
        <v>876</v>
      </c>
      <c r="B783" s="361" t="s">
        <v>308</v>
      </c>
      <c r="C783" s="366" t="s">
        <v>178</v>
      </c>
      <c r="D783" s="278">
        <f>LOOKUP(A783,'[4]PT OCT 2011'!$A$2:$A$730,'[4]PT OCT 2011'!$D$2:$D$730)</f>
        <v>305</v>
      </c>
    </row>
    <row r="784" spans="1:4" ht="25.5">
      <c r="A784" s="361" t="s">
        <v>877</v>
      </c>
      <c r="B784" s="361" t="s">
        <v>878</v>
      </c>
      <c r="C784" s="366" t="s">
        <v>178</v>
      </c>
      <c r="D784" s="278">
        <f>LOOKUP(A784,'[4]PT OCT 2011'!$A$2:$A$730,'[4]PT OCT 2011'!$D$2:$D$730)</f>
        <v>186</v>
      </c>
    </row>
    <row r="785" spans="1:4" ht="15">
      <c r="A785" s="361" t="s">
        <v>879</v>
      </c>
      <c r="B785" s="361" t="s">
        <v>282</v>
      </c>
      <c r="C785" s="366" t="s">
        <v>178</v>
      </c>
      <c r="D785" s="278">
        <f>LOOKUP(A785,'[4]PT OCT 2011'!$A$2:$A$730,'[4]PT OCT 2011'!$D$2:$D$730)</f>
        <v>354.72</v>
      </c>
    </row>
    <row r="786" spans="1:4" ht="15">
      <c r="A786" s="361" t="s">
        <v>880</v>
      </c>
      <c r="B786" s="361" t="s">
        <v>283</v>
      </c>
      <c r="C786" s="366" t="s">
        <v>1849</v>
      </c>
      <c r="D786" s="278">
        <f>LOOKUP(A786,'[4]PT OCT 2011'!$A$2:$A$730,'[4]PT OCT 2011'!$D$2:$D$730)</f>
        <v>51.415</v>
      </c>
    </row>
    <row r="787" spans="1:4" ht="15">
      <c r="A787" s="361" t="s">
        <v>881</v>
      </c>
      <c r="B787" s="361" t="s">
        <v>293</v>
      </c>
      <c r="C787" s="366" t="s">
        <v>1849</v>
      </c>
      <c r="D787" s="278">
        <f>LOOKUP(A787,'[4]PT OCT 2011'!$A$2:$A$730,'[4]PT OCT 2011'!$D$2:$D$730)</f>
        <v>14.66</v>
      </c>
    </row>
    <row r="788" spans="1:4" ht="15">
      <c r="A788" s="361" t="s">
        <v>882</v>
      </c>
      <c r="B788" s="361" t="s">
        <v>307</v>
      </c>
      <c r="C788" s="366" t="s">
        <v>1849</v>
      </c>
      <c r="D788" s="278">
        <f>LOOKUP(A788,'[4]PT OCT 2011'!$A$2:$A$730,'[4]PT OCT 2011'!$D$2:$D$730)</f>
        <v>7.415</v>
      </c>
    </row>
    <row r="789" spans="1:4" ht="15">
      <c r="A789" s="361" t="s">
        <v>883</v>
      </c>
      <c r="B789" s="361" t="s">
        <v>322</v>
      </c>
      <c r="C789" s="366" t="s">
        <v>1849</v>
      </c>
      <c r="D789" s="278">
        <f>LOOKUP(A789,'[4]PT OCT 2011'!$A$2:$A$730,'[4]PT OCT 2011'!$D$2:$D$730)</f>
        <v>46.3</v>
      </c>
    </row>
    <row r="790" spans="1:4" ht="15">
      <c r="A790" s="361" t="s">
        <v>884</v>
      </c>
      <c r="B790" s="361" t="s">
        <v>309</v>
      </c>
      <c r="C790" s="366" t="s">
        <v>1849</v>
      </c>
      <c r="D790" s="278">
        <f>LOOKUP(A790,'[4]PT OCT 2011'!$A$2:$A$730,'[4]PT OCT 2011'!$D$2:$D$730)</f>
        <v>34.345</v>
      </c>
    </row>
    <row r="791" spans="1:4" ht="15">
      <c r="A791" s="361" t="s">
        <v>885</v>
      </c>
      <c r="B791" s="361" t="s">
        <v>294</v>
      </c>
      <c r="C791" s="366" t="s">
        <v>178</v>
      </c>
      <c r="D791" s="278">
        <f>LOOKUP(A791,'[4]PT OCT 2011'!$A$2:$A$730,'[4]PT OCT 2011'!$D$2:$D$730)</f>
        <v>43.115</v>
      </c>
    </row>
    <row r="792" spans="1:4" ht="15">
      <c r="A792" s="361" t="s">
        <v>886</v>
      </c>
      <c r="B792" s="361" t="s">
        <v>310</v>
      </c>
      <c r="C792" s="366" t="s">
        <v>178</v>
      </c>
      <c r="D792" s="278">
        <f>LOOKUP(A792,'[4]PT OCT 2011'!$A$2:$A$730,'[4]PT OCT 2011'!$D$2:$D$730)</f>
        <v>100.55</v>
      </c>
    </row>
    <row r="793" spans="1:4" ht="15">
      <c r="A793" s="361" t="s">
        <v>887</v>
      </c>
      <c r="B793" s="361" t="s">
        <v>288</v>
      </c>
      <c r="C793" s="366" t="s">
        <v>178</v>
      </c>
      <c r="D793" s="278">
        <f>LOOKUP(A793,'[4]PT OCT 2011'!$A$2:$A$730,'[4]PT OCT 2011'!$D$2:$D$730)</f>
        <v>542.8</v>
      </c>
    </row>
    <row r="794" spans="1:4" ht="15">
      <c r="A794" s="361" t="s">
        <v>888</v>
      </c>
      <c r="B794" s="361" t="s">
        <v>311</v>
      </c>
      <c r="C794" s="366" t="s">
        <v>178</v>
      </c>
      <c r="D794" s="278">
        <f>LOOKUP(A794,'[4]PT OCT 2011'!$A$2:$A$730,'[4]PT OCT 2011'!$D$2:$D$730)</f>
        <v>83.78</v>
      </c>
    </row>
    <row r="795" spans="1:4" ht="15">
      <c r="A795" s="361" t="s">
        <v>889</v>
      </c>
      <c r="B795" s="361" t="s">
        <v>312</v>
      </c>
      <c r="C795" s="366" t="s">
        <v>178</v>
      </c>
      <c r="D795" s="278">
        <f>LOOKUP(A795,'[4]PT OCT 2011'!$A$2:$A$730,'[4]PT OCT 2011'!$D$2:$D$730)</f>
        <v>1260.33</v>
      </c>
    </row>
    <row r="796" spans="1:4" ht="15">
      <c r="A796" s="361" t="s">
        <v>890</v>
      </c>
      <c r="B796" s="361" t="s">
        <v>891</v>
      </c>
      <c r="C796" s="366" t="s">
        <v>178</v>
      </c>
      <c r="D796" s="278">
        <f>LOOKUP(A796,'[4]PT OCT 2011'!$A$2:$A$730,'[4]PT OCT 2011'!$D$2:$D$730)</f>
        <v>1086.985</v>
      </c>
    </row>
    <row r="797" spans="1:4" ht="15">
      <c r="A797" s="361" t="s">
        <v>892</v>
      </c>
      <c r="B797" s="361" t="s">
        <v>291</v>
      </c>
      <c r="C797" s="366" t="s">
        <v>178</v>
      </c>
      <c r="D797" s="278">
        <f>LOOKUP(A797,'[4]PT OCT 2011'!$A$2:$A$730,'[4]PT OCT 2011'!$D$2:$D$730)</f>
        <v>561.98</v>
      </c>
    </row>
    <row r="798" spans="1:4" ht="15">
      <c r="A798" s="361" t="s">
        <v>893</v>
      </c>
      <c r="B798" s="361" t="s">
        <v>292</v>
      </c>
      <c r="C798" s="366" t="s">
        <v>178</v>
      </c>
      <c r="D798" s="278">
        <f>LOOKUP(A798,'[4]PT OCT 2011'!$A$2:$A$730,'[4]PT OCT 2011'!$D$2:$D$730)</f>
        <v>619.83</v>
      </c>
    </row>
    <row r="799" spans="1:4" ht="15">
      <c r="A799" s="361" t="s">
        <v>304</v>
      </c>
      <c r="B799" s="361" t="s">
        <v>320</v>
      </c>
      <c r="C799" s="366" t="s">
        <v>347</v>
      </c>
      <c r="D799" s="278">
        <f>LOOKUP(A799,'[4]PT OCT 2011'!$A$2:$A$730,'[4]PT OCT 2011'!$D$2:$D$730)</f>
        <v>8.805</v>
      </c>
    </row>
    <row r="800" spans="1:4" ht="15">
      <c r="A800" s="361" t="s">
        <v>894</v>
      </c>
      <c r="B800" s="361" t="s">
        <v>895</v>
      </c>
      <c r="C800" s="366" t="s">
        <v>178</v>
      </c>
      <c r="D800" s="278">
        <f>LOOKUP(A800,'[4]PT OCT 2011'!$A$2:$A$730,'[4]PT OCT 2011'!$D$2:$D$730)</f>
        <v>63.25</v>
      </c>
    </row>
    <row r="801" spans="1:4" ht="15">
      <c r="A801" s="361" t="s">
        <v>1332</v>
      </c>
      <c r="B801" s="361" t="s">
        <v>896</v>
      </c>
      <c r="C801" s="366" t="s">
        <v>178</v>
      </c>
      <c r="D801" s="278">
        <f>LOOKUP(A801,'[4]PT OCT 2011'!$A$2:$A$730,'[4]PT OCT 2011'!$D$2:$D$730)</f>
        <v>85.55</v>
      </c>
    </row>
    <row r="802" spans="1:4" ht="15">
      <c r="A802" s="361" t="s">
        <v>1131</v>
      </c>
      <c r="B802" s="361" t="s">
        <v>897</v>
      </c>
      <c r="C802" s="366" t="s">
        <v>178</v>
      </c>
      <c r="D802" s="278">
        <f>LOOKUP(A802,'[4]PT OCT 2011'!$A$2:$A$730,'[4]PT OCT 2011'!$D$2:$D$730)</f>
        <v>114.11</v>
      </c>
    </row>
    <row r="803" spans="1:4" ht="15">
      <c r="A803" s="361" t="s">
        <v>1152</v>
      </c>
      <c r="B803" s="361" t="s">
        <v>898</v>
      </c>
      <c r="C803" s="366" t="s">
        <v>347</v>
      </c>
      <c r="D803" s="278">
        <f>LOOKUP(A803,'[4]PT OCT 2011'!$A$2:$A$730,'[4]PT OCT 2011'!$D$2:$D$730)</f>
        <v>102152.38</v>
      </c>
    </row>
    <row r="804" spans="1:4" ht="15">
      <c r="A804" s="361" t="s">
        <v>1156</v>
      </c>
      <c r="B804" s="361" t="s">
        <v>899</v>
      </c>
      <c r="C804" s="366" t="s">
        <v>2023</v>
      </c>
      <c r="D804" s="278">
        <f>LOOKUP(A804,'[4]PT OCT 2011'!$A$2:$A$730,'[4]PT OCT 2011'!$D$2:$D$730)</f>
        <v>241.78</v>
      </c>
    </row>
    <row r="805" spans="1:4" ht="15">
      <c r="A805" s="361" t="s">
        <v>900</v>
      </c>
      <c r="B805" s="361" t="s">
        <v>901</v>
      </c>
      <c r="C805" s="366" t="s">
        <v>178</v>
      </c>
      <c r="D805" s="278">
        <f>LOOKUP(A805,'[4]PT OCT 2011'!$A$2:$A$730,'[4]PT OCT 2011'!$D$2:$D$730)</f>
        <v>11.8433</v>
      </c>
    </row>
    <row r="806" spans="1:4" ht="15">
      <c r="A806" s="361" t="s">
        <v>902</v>
      </c>
      <c r="B806" s="361" t="s">
        <v>903</v>
      </c>
      <c r="C806" s="366" t="s">
        <v>178</v>
      </c>
      <c r="D806" s="278">
        <f>LOOKUP(A806,'[4]PT OCT 2011'!$A$2:$A$730,'[4]PT OCT 2011'!$D$2:$D$730)</f>
        <v>10.41</v>
      </c>
    </row>
    <row r="807" spans="1:4" ht="15">
      <c r="A807" s="361" t="s">
        <v>904</v>
      </c>
      <c r="B807" s="361" t="s">
        <v>905</v>
      </c>
      <c r="C807" s="366" t="s">
        <v>178</v>
      </c>
      <c r="D807" s="278">
        <f>LOOKUP(A807,'[4]PT OCT 2011'!$A$2:$A$730,'[4]PT OCT 2011'!$D$2:$D$730)</f>
        <v>29.1519</v>
      </c>
    </row>
    <row r="808" spans="1:4" ht="15">
      <c r="A808" s="361" t="s">
        <v>906</v>
      </c>
      <c r="B808" s="361" t="s">
        <v>907</v>
      </c>
      <c r="C808" s="366" t="s">
        <v>178</v>
      </c>
      <c r="D808" s="278">
        <f>LOOKUP(A808,'[4]PT OCT 2011'!$A$2:$A$730,'[4]PT OCT 2011'!$D$2:$D$730)</f>
        <v>35.8728</v>
      </c>
    </row>
    <row r="809" spans="1:4" ht="15">
      <c r="A809" s="361" t="s">
        <v>908</v>
      </c>
      <c r="B809" s="361" t="s">
        <v>909</v>
      </c>
      <c r="C809" s="366" t="s">
        <v>178</v>
      </c>
      <c r="D809" s="278">
        <f>LOOKUP(A809,'[4]PT OCT 2011'!$A$2:$A$730,'[4]PT OCT 2011'!$D$2:$D$730)</f>
        <v>7.3096</v>
      </c>
    </row>
    <row r="810" spans="1:4" ht="15">
      <c r="A810" s="361" t="s">
        <v>910</v>
      </c>
      <c r="B810" s="361" t="s">
        <v>911</v>
      </c>
      <c r="C810" s="366" t="s">
        <v>178</v>
      </c>
      <c r="D810" s="278">
        <f>LOOKUP(A810,'[4]PT OCT 2011'!$A$2:$A$730,'[4]PT OCT 2011'!$D$2:$D$730)</f>
        <v>7.4091</v>
      </c>
    </row>
    <row r="811" spans="1:4" ht="15">
      <c r="A811" s="361" t="s">
        <v>912</v>
      </c>
      <c r="B811" s="361" t="s">
        <v>913</v>
      </c>
      <c r="C811" s="366" t="s">
        <v>178</v>
      </c>
      <c r="D811" s="278">
        <f>LOOKUP(A811,'[4]PT OCT 2011'!$A$2:$A$730,'[4]PT OCT 2011'!$D$2:$D$730)</f>
        <v>3.9296</v>
      </c>
    </row>
    <row r="812" spans="1:4" ht="15">
      <c r="A812" s="361" t="s">
        <v>914</v>
      </c>
      <c r="B812" s="361" t="s">
        <v>915</v>
      </c>
      <c r="C812" s="366" t="s">
        <v>178</v>
      </c>
      <c r="D812" s="278">
        <f>LOOKUP(A812,'[4]PT OCT 2011'!$A$2:$A$730,'[4]PT OCT 2011'!$D$2:$D$730)</f>
        <v>5.4763</v>
      </c>
    </row>
    <row r="813" spans="1:4" ht="15">
      <c r="A813" s="361" t="s">
        <v>916</v>
      </c>
      <c r="B813" s="361" t="s">
        <v>917</v>
      </c>
      <c r="C813" s="366" t="s">
        <v>178</v>
      </c>
      <c r="D813" s="278">
        <f>LOOKUP(A813,'[4]PT OCT 2011'!$A$2:$A$730,'[4]PT OCT 2011'!$D$2:$D$730)</f>
        <v>8.5967</v>
      </c>
    </row>
    <row r="814" spans="1:4" ht="15">
      <c r="A814" s="361" t="s">
        <v>918</v>
      </c>
      <c r="B814" s="361" t="s">
        <v>919</v>
      </c>
      <c r="C814" s="366" t="s">
        <v>178</v>
      </c>
      <c r="D814" s="278">
        <f>LOOKUP(A814,'[4]PT OCT 2011'!$A$2:$A$730,'[4]PT OCT 2011'!$D$2:$D$730)</f>
        <v>8.115</v>
      </c>
    </row>
    <row r="815" spans="1:4" ht="15">
      <c r="A815" s="361" t="s">
        <v>920</v>
      </c>
      <c r="B815" s="361" t="s">
        <v>921</v>
      </c>
      <c r="C815" s="366" t="s">
        <v>178</v>
      </c>
      <c r="D815" s="278">
        <f>LOOKUP(A815,'[4]PT OCT 2011'!$A$2:$A$730,'[4]PT OCT 2011'!$D$2:$D$730)</f>
        <v>24.26</v>
      </c>
    </row>
    <row r="816" spans="1:4" ht="15">
      <c r="A816" s="361" t="s">
        <v>922</v>
      </c>
      <c r="B816" s="361" t="s">
        <v>923</v>
      </c>
      <c r="C816" s="366" t="s">
        <v>178</v>
      </c>
      <c r="D816" s="278">
        <f>LOOKUP(A816,'[4]PT OCT 2011'!$A$2:$A$730,'[4]PT OCT 2011'!$D$2:$D$730)</f>
        <v>304.98</v>
      </c>
    </row>
    <row r="817" spans="1:4" ht="15">
      <c r="A817" s="361" t="s">
        <v>924</v>
      </c>
      <c r="B817" s="361" t="s">
        <v>925</v>
      </c>
      <c r="C817" s="366" t="s">
        <v>178</v>
      </c>
      <c r="D817" s="278">
        <f>LOOKUP(A817,'[4]PT OCT 2011'!$A$2:$A$730,'[4]PT OCT 2011'!$D$2:$D$730)</f>
        <v>101.48</v>
      </c>
    </row>
    <row r="818" spans="1:4" ht="15">
      <c r="A818" s="361" t="s">
        <v>926</v>
      </c>
      <c r="B818" s="361" t="s">
        <v>927</v>
      </c>
      <c r="C818" s="366" t="s">
        <v>178</v>
      </c>
      <c r="D818" s="278">
        <f>LOOKUP(A818,'[4]PT OCT 2011'!$A$2:$A$730,'[4]PT OCT 2011'!$D$2:$D$730)</f>
        <v>229.75</v>
      </c>
    </row>
    <row r="819" spans="1:4" ht="15">
      <c r="A819" s="361" t="s">
        <v>928</v>
      </c>
      <c r="B819" s="361" t="s">
        <v>929</v>
      </c>
      <c r="C819" s="366" t="s">
        <v>178</v>
      </c>
      <c r="D819" s="278">
        <f>LOOKUP(A819,'[4]PT OCT 2011'!$A$2:$A$730,'[4]PT OCT 2011'!$D$2:$D$730)</f>
        <v>236.775</v>
      </c>
    </row>
    <row r="820" spans="1:4" ht="15">
      <c r="A820" s="361" t="s">
        <v>930</v>
      </c>
      <c r="B820" s="361" t="s">
        <v>931</v>
      </c>
      <c r="C820" s="366" t="s">
        <v>178</v>
      </c>
      <c r="D820" s="278">
        <f>LOOKUP(A820,'[4]PT OCT 2011'!$A$2:$A$730,'[4]PT OCT 2011'!$D$2:$D$730)</f>
        <v>164.235</v>
      </c>
    </row>
    <row r="821" spans="1:4" ht="15">
      <c r="A821" s="361" t="s">
        <v>932</v>
      </c>
      <c r="B821" s="361" t="s">
        <v>933</v>
      </c>
      <c r="C821" s="366" t="s">
        <v>178</v>
      </c>
      <c r="D821" s="278">
        <f>LOOKUP(A821,'[4]PT OCT 2011'!$A$2:$A$730,'[4]PT OCT 2011'!$D$2:$D$730)</f>
        <v>32.48</v>
      </c>
    </row>
    <row r="822" spans="1:4" ht="15">
      <c r="A822" s="361" t="s">
        <v>934</v>
      </c>
      <c r="B822" s="361" t="s">
        <v>935</v>
      </c>
      <c r="C822" s="366" t="s">
        <v>178</v>
      </c>
      <c r="D822" s="278">
        <f>LOOKUP(A822,'[4]PT OCT 2011'!$A$2:$A$730,'[4]PT OCT 2011'!$D$2:$D$730)</f>
        <v>24.79</v>
      </c>
    </row>
    <row r="823" spans="1:4" ht="15">
      <c r="A823" s="361" t="s">
        <v>936</v>
      </c>
      <c r="B823" s="361" t="s">
        <v>937</v>
      </c>
      <c r="C823" s="366" t="s">
        <v>178</v>
      </c>
      <c r="D823" s="278">
        <f>LOOKUP(A823,'[4]PT OCT 2011'!$A$2:$A$730,'[4]PT OCT 2011'!$D$2:$D$730)</f>
        <v>39.67</v>
      </c>
    </row>
    <row r="824" spans="1:4" ht="15">
      <c r="A824" s="361" t="s">
        <v>938</v>
      </c>
      <c r="B824" s="361" t="s">
        <v>939</v>
      </c>
      <c r="C824" s="366" t="s">
        <v>178</v>
      </c>
      <c r="D824" s="278">
        <f>LOOKUP(A824,'[4]PT OCT 2011'!$A$2:$A$730,'[4]PT OCT 2011'!$D$2:$D$730)</f>
        <v>51.24</v>
      </c>
    </row>
    <row r="825" spans="1:4" ht="15">
      <c r="A825" s="361" t="s">
        <v>940</v>
      </c>
      <c r="B825" s="361" t="s">
        <v>941</v>
      </c>
      <c r="C825" s="366" t="s">
        <v>178</v>
      </c>
      <c r="D825" s="278">
        <f>LOOKUP(A825,'[4]PT OCT 2011'!$A$2:$A$730,'[4]PT OCT 2011'!$D$2:$D$730)</f>
        <v>28.535</v>
      </c>
    </row>
    <row r="826" spans="1:4" ht="15">
      <c r="A826" s="361" t="s">
        <v>942</v>
      </c>
      <c r="B826" s="361" t="s">
        <v>943</v>
      </c>
      <c r="C826" s="366" t="s">
        <v>178</v>
      </c>
      <c r="D826" s="278">
        <f>LOOKUP(A826,'[4]PT OCT 2011'!$A$2:$A$730,'[4]PT OCT 2011'!$D$2:$D$730)</f>
        <v>10.295</v>
      </c>
    </row>
    <row r="827" spans="1:4" ht="15">
      <c r="A827" s="361" t="s">
        <v>944</v>
      </c>
      <c r="B827" s="361" t="s">
        <v>945</v>
      </c>
      <c r="C827" s="366" t="s">
        <v>178</v>
      </c>
      <c r="D827" s="278">
        <f>LOOKUP(A827,'[4]PT OCT 2011'!$A$2:$A$730,'[4]PT OCT 2011'!$D$2:$D$730)</f>
        <v>4.0767</v>
      </c>
    </row>
    <row r="828" spans="1:4" ht="15">
      <c r="A828" s="361" t="s">
        <v>946</v>
      </c>
      <c r="B828" s="361" t="s">
        <v>947</v>
      </c>
      <c r="C828" s="366" t="s">
        <v>348</v>
      </c>
      <c r="D828" s="278">
        <f>LOOKUP(A828,'[4]PT OCT 2011'!$A$2:$A$730,'[4]PT OCT 2011'!$D$2:$D$730)</f>
        <v>48.9267</v>
      </c>
    </row>
    <row r="829" spans="1:4" ht="15">
      <c r="A829" s="361" t="s">
        <v>948</v>
      </c>
      <c r="B829" s="361" t="s">
        <v>949</v>
      </c>
      <c r="C829" s="366" t="s">
        <v>1849</v>
      </c>
      <c r="D829" s="278">
        <f>LOOKUP(A829,'[4]PT OCT 2011'!$A$2:$A$730,'[4]PT OCT 2011'!$D$2:$D$730)</f>
        <v>3.11</v>
      </c>
    </row>
    <row r="830" spans="1:4" ht="15">
      <c r="A830" s="361" t="s">
        <v>950</v>
      </c>
      <c r="B830" s="361" t="s">
        <v>951</v>
      </c>
      <c r="C830" s="366" t="s">
        <v>1849</v>
      </c>
      <c r="D830" s="278">
        <f>LOOKUP(A830,'[4]PT OCT 2011'!$A$2:$A$730,'[4]PT OCT 2011'!$D$2:$D$730)</f>
        <v>5.26</v>
      </c>
    </row>
    <row r="831" spans="1:4" ht="15">
      <c r="A831" s="361" t="s">
        <v>952</v>
      </c>
      <c r="B831" s="361" t="s">
        <v>953</v>
      </c>
      <c r="C831" s="366" t="s">
        <v>1849</v>
      </c>
      <c r="D831" s="278">
        <f>LOOKUP(A831,'[4]PT OCT 2011'!$A$2:$A$730,'[4]PT OCT 2011'!$D$2:$D$730)</f>
        <v>8.45</v>
      </c>
    </row>
    <row r="832" spans="1:4" ht="15">
      <c r="A832" s="361" t="s">
        <v>954</v>
      </c>
      <c r="B832" s="361" t="s">
        <v>955</v>
      </c>
      <c r="C832" s="366" t="s">
        <v>1849</v>
      </c>
      <c r="D832" s="278">
        <f>LOOKUP(A832,'[4]PT OCT 2011'!$A$2:$A$730,'[4]PT OCT 2011'!$D$2:$D$730)</f>
        <v>17.36</v>
      </c>
    </row>
    <row r="833" spans="1:4" ht="15">
      <c r="A833" s="361" t="s">
        <v>956</v>
      </c>
      <c r="B833" s="361" t="s">
        <v>957</v>
      </c>
      <c r="C833" s="366" t="s">
        <v>1849</v>
      </c>
      <c r="D833" s="278">
        <f>LOOKUP(A833,'[4]PT OCT 2011'!$A$2:$A$730,'[4]PT OCT 2011'!$D$2:$D$730)</f>
        <v>21.4647</v>
      </c>
    </row>
    <row r="834" spans="1:4" ht="15">
      <c r="A834" s="361" t="s">
        <v>958</v>
      </c>
      <c r="B834" s="361" t="s">
        <v>959</v>
      </c>
      <c r="C834" s="366" t="s">
        <v>1849</v>
      </c>
      <c r="D834" s="278">
        <f>LOOKUP(A834,'[4]PT OCT 2011'!$A$2:$A$730,'[4]PT OCT 2011'!$D$2:$D$730)</f>
        <v>25.9174</v>
      </c>
    </row>
    <row r="835" spans="1:4" ht="15">
      <c r="A835" s="361" t="s">
        <v>960</v>
      </c>
      <c r="B835" s="361" t="s">
        <v>961</v>
      </c>
      <c r="C835" s="366" t="s">
        <v>178</v>
      </c>
      <c r="D835" s="278">
        <f>LOOKUP(A835,'[4]PT OCT 2011'!$A$2:$A$730,'[4]PT OCT 2011'!$D$2:$D$730)</f>
        <v>1.52</v>
      </c>
    </row>
    <row r="836" spans="1:4" ht="15">
      <c r="A836" s="361" t="s">
        <v>962</v>
      </c>
      <c r="B836" s="361" t="s">
        <v>963</v>
      </c>
      <c r="C836" s="366" t="s">
        <v>178</v>
      </c>
      <c r="D836" s="278">
        <f>LOOKUP(A836,'[4]PT OCT 2011'!$A$2:$A$730,'[4]PT OCT 2011'!$D$2:$D$730)</f>
        <v>4.025</v>
      </c>
    </row>
    <row r="837" spans="1:4" ht="15">
      <c r="A837" s="361" t="s">
        <v>964</v>
      </c>
      <c r="B837" s="361" t="s">
        <v>965</v>
      </c>
      <c r="C837" s="366" t="s">
        <v>178</v>
      </c>
      <c r="D837" s="278">
        <f>LOOKUP(A837,'[4]PT OCT 2011'!$A$2:$A$730,'[4]PT OCT 2011'!$D$2:$D$730)</f>
        <v>2.505</v>
      </c>
    </row>
    <row r="838" spans="1:4" ht="15" hidden="1">
      <c r="A838" s="361" t="s">
        <v>966</v>
      </c>
      <c r="B838" s="361" t="s">
        <v>967</v>
      </c>
      <c r="C838" s="366" t="s">
        <v>178</v>
      </c>
      <c r="D838" s="278">
        <f>LOOKUP(A838,'[4]PT OCT 2011'!$A$2:$A$730,'[4]PT OCT 2011'!$D$2:$D$730)</f>
        <v>2.505</v>
      </c>
    </row>
    <row r="839" spans="1:4" ht="15">
      <c r="A839" s="361" t="s">
        <v>968</v>
      </c>
      <c r="B839" s="361" t="s">
        <v>969</v>
      </c>
      <c r="C839" s="366" t="s">
        <v>178</v>
      </c>
      <c r="D839" s="278">
        <f>LOOKUP(A839,'[4]PT OCT 2011'!$A$2:$A$730,'[4]PT OCT 2011'!$D$2:$D$730)</f>
        <v>33.81</v>
      </c>
    </row>
    <row r="840" spans="1:4" ht="15">
      <c r="A840" s="361" t="s">
        <v>970</v>
      </c>
      <c r="B840" s="361" t="s">
        <v>971</v>
      </c>
      <c r="C840" s="366" t="s">
        <v>178</v>
      </c>
      <c r="D840" s="278">
        <f>LOOKUP(A840,'[4]PT OCT 2011'!$A$2:$A$730,'[4]PT OCT 2011'!$D$2:$D$730)</f>
        <v>45.28</v>
      </c>
    </row>
    <row r="841" spans="1:4" ht="15">
      <c r="A841" s="361" t="s">
        <v>972</v>
      </c>
      <c r="B841" s="361" t="s">
        <v>973</v>
      </c>
      <c r="C841" s="366" t="s">
        <v>178</v>
      </c>
      <c r="D841" s="278">
        <f>LOOKUP(A841,'[4]PT OCT 2011'!$A$2:$A$730,'[4]PT OCT 2011'!$D$2:$D$730)</f>
        <v>4.785</v>
      </c>
    </row>
    <row r="842" spans="1:4" ht="15">
      <c r="A842" s="361" t="s">
        <v>974</v>
      </c>
      <c r="B842" s="361" t="s">
        <v>975</v>
      </c>
      <c r="C842" s="366" t="s">
        <v>178</v>
      </c>
      <c r="D842" s="278">
        <f>LOOKUP(A842,'[4]PT OCT 2011'!$A$2:$A$730,'[4]PT OCT 2011'!$D$2:$D$730)</f>
        <v>1.535</v>
      </c>
    </row>
    <row r="843" spans="1:4" ht="15">
      <c r="A843" s="361" t="s">
        <v>976</v>
      </c>
      <c r="B843" s="361" t="s">
        <v>977</v>
      </c>
      <c r="C843" s="366" t="s">
        <v>178</v>
      </c>
      <c r="D843" s="278">
        <f>LOOKUP(A843,'[4]PT OCT 2011'!$A$2:$A$730,'[4]PT OCT 2011'!$D$2:$D$730)</f>
        <v>4.805</v>
      </c>
    </row>
    <row r="844" spans="1:4" ht="15">
      <c r="A844" s="361" t="s">
        <v>978</v>
      </c>
      <c r="B844" s="361" t="s">
        <v>979</v>
      </c>
      <c r="C844" s="366" t="s">
        <v>178</v>
      </c>
      <c r="D844" s="278">
        <f>LOOKUP(A844,'[4]PT OCT 2011'!$A$2:$A$730,'[4]PT OCT 2011'!$D$2:$D$730)</f>
        <v>10.465</v>
      </c>
    </row>
    <row r="845" spans="1:4" ht="15">
      <c r="A845" s="361" t="s">
        <v>980</v>
      </c>
      <c r="B845" s="361" t="s">
        <v>981</v>
      </c>
      <c r="C845" s="366" t="s">
        <v>178</v>
      </c>
      <c r="D845" s="278">
        <f>LOOKUP(A845,'[4]PT OCT 2011'!$A$2:$A$730,'[4]PT OCT 2011'!$D$2:$D$730)</f>
        <v>374.66</v>
      </c>
    </row>
    <row r="846" spans="1:4" ht="15">
      <c r="A846" s="361" t="s">
        <v>982</v>
      </c>
      <c r="B846" s="361" t="s">
        <v>983</v>
      </c>
      <c r="C846" s="366" t="s">
        <v>178</v>
      </c>
      <c r="D846" s="278">
        <f>LOOKUP(A846,'[4]PT OCT 2011'!$A$2:$A$730,'[4]PT OCT 2011'!$D$2:$D$730)</f>
        <v>395.025</v>
      </c>
    </row>
    <row r="847" spans="1:4" ht="15">
      <c r="A847" s="361" t="s">
        <v>984</v>
      </c>
      <c r="B847" s="361" t="s">
        <v>985</v>
      </c>
      <c r="C847" s="366" t="s">
        <v>178</v>
      </c>
      <c r="D847" s="278">
        <f>LOOKUP(A847,'[4]PT OCT 2011'!$A$2:$A$730,'[4]PT OCT 2011'!$D$2:$D$730)</f>
        <v>349.295</v>
      </c>
    </row>
    <row r="848" spans="1:4" ht="15">
      <c r="A848" s="361" t="s">
        <v>986</v>
      </c>
      <c r="B848" s="361" t="s">
        <v>987</v>
      </c>
      <c r="C848" s="366" t="s">
        <v>178</v>
      </c>
      <c r="D848" s="278">
        <f>LOOKUP(A848,'[4]PT OCT 2011'!$A$2:$A$730,'[4]PT OCT 2011'!$D$2:$D$730)</f>
        <v>26.99</v>
      </c>
    </row>
    <row r="849" spans="1:4" ht="15">
      <c r="A849" s="361" t="s">
        <v>988</v>
      </c>
      <c r="B849" s="361" t="s">
        <v>989</v>
      </c>
      <c r="C849" s="366" t="s">
        <v>178</v>
      </c>
      <c r="D849" s="278">
        <f>LOOKUP(A849,'[4]PT OCT 2011'!$A$2:$A$730,'[4]PT OCT 2011'!$D$2:$D$730)</f>
        <v>67.41</v>
      </c>
    </row>
    <row r="850" spans="1:4" ht="15">
      <c r="A850" s="361" t="s">
        <v>990</v>
      </c>
      <c r="B850" s="361" t="s">
        <v>991</v>
      </c>
      <c r="C850" s="366" t="s">
        <v>178</v>
      </c>
      <c r="D850" s="278">
        <f>LOOKUP(A850,'[4]PT OCT 2011'!$A$2:$A$730,'[4]PT OCT 2011'!$D$2:$D$730)</f>
        <v>74.7</v>
      </c>
    </row>
    <row r="851" spans="1:4" ht="15">
      <c r="A851" s="361" t="s">
        <v>992</v>
      </c>
      <c r="B851" s="361" t="s">
        <v>993</v>
      </c>
      <c r="C851" s="366" t="s">
        <v>178</v>
      </c>
      <c r="D851" s="278">
        <f>LOOKUP(A851,'[4]PT OCT 2011'!$A$2:$A$730,'[4]PT OCT 2011'!$D$2:$D$730)</f>
        <v>34.45</v>
      </c>
    </row>
    <row r="852" spans="1:4" ht="15">
      <c r="A852" s="361" t="s">
        <v>994</v>
      </c>
      <c r="B852" s="361" t="s">
        <v>995</v>
      </c>
      <c r="C852" s="366" t="s">
        <v>178</v>
      </c>
      <c r="D852" s="278">
        <f>LOOKUP(A852,'[4]PT OCT 2011'!$A$2:$A$730,'[4]PT OCT 2011'!$D$2:$D$730)</f>
        <v>51.595</v>
      </c>
    </row>
    <row r="853" spans="1:4" ht="15">
      <c r="A853" s="361" t="s">
        <v>996</v>
      </c>
      <c r="B853" s="361" t="s">
        <v>997</v>
      </c>
      <c r="C853" s="366" t="s">
        <v>178</v>
      </c>
      <c r="D853" s="278">
        <f>LOOKUP(A853,'[4]PT OCT 2011'!$A$2:$A$730,'[4]PT OCT 2011'!$D$2:$D$730)</f>
        <v>12.8</v>
      </c>
    </row>
    <row r="854" spans="1:4" ht="15">
      <c r="A854" s="361" t="s">
        <v>1333</v>
      </c>
      <c r="B854" s="361" t="s">
        <v>998</v>
      </c>
      <c r="C854" s="366" t="s">
        <v>178</v>
      </c>
      <c r="D854" s="278">
        <f>LOOKUP(A854,'[4]PT OCT 2011'!$A$2:$A$730,'[4]PT OCT 2011'!$D$2:$D$730)</f>
        <v>39.705</v>
      </c>
    </row>
    <row r="855" spans="1:4" ht="15">
      <c r="A855" s="361" t="s">
        <v>999</v>
      </c>
      <c r="B855" s="361" t="s">
        <v>1000</v>
      </c>
      <c r="C855" s="366" t="s">
        <v>178</v>
      </c>
      <c r="D855" s="278">
        <f>LOOKUP(A855,'[4]PT OCT 2011'!$A$2:$A$730,'[4]PT OCT 2011'!$D$2:$D$730)</f>
        <v>19.47</v>
      </c>
    </row>
    <row r="856" spans="1:4" ht="15">
      <c r="A856" s="361" t="s">
        <v>1001</v>
      </c>
      <c r="B856" s="361" t="s">
        <v>1002</v>
      </c>
      <c r="C856" s="366" t="s">
        <v>178</v>
      </c>
      <c r="D856" s="278">
        <f>LOOKUP(A856,'[4]PT OCT 2011'!$A$2:$A$730,'[4]PT OCT 2011'!$D$2:$D$730)</f>
        <v>8.885</v>
      </c>
    </row>
    <row r="857" spans="1:4" ht="15">
      <c r="A857" s="361" t="s">
        <v>1003</v>
      </c>
      <c r="B857" s="361" t="s">
        <v>1004</v>
      </c>
      <c r="C857" s="366" t="s">
        <v>1976</v>
      </c>
      <c r="D857" s="278">
        <f>LOOKUP(A857,'[4]PT OCT 2011'!$A$2:$A$730,'[4]PT OCT 2011'!$D$2:$D$730)</f>
        <v>404.96</v>
      </c>
    </row>
    <row r="858" spans="1:4" ht="15">
      <c r="A858" s="361" t="s">
        <v>1005</v>
      </c>
      <c r="B858" s="361" t="s">
        <v>1006</v>
      </c>
      <c r="C858" s="366" t="s">
        <v>1976</v>
      </c>
      <c r="D858" s="278">
        <f>LOOKUP(A858,'[4]PT OCT 2011'!$A$2:$A$730,'[4]PT OCT 2011'!$D$2:$D$730)</f>
        <v>429.75</v>
      </c>
    </row>
    <row r="859" spans="1:4" ht="15">
      <c r="A859" s="361" t="s">
        <v>1007</v>
      </c>
      <c r="B859" s="361" t="s">
        <v>1008</v>
      </c>
      <c r="C859" s="366" t="s">
        <v>1976</v>
      </c>
      <c r="D859" s="278">
        <f>LOOKUP(A859,'[4]PT OCT 2011'!$A$2:$A$730,'[4]PT OCT 2011'!$D$2:$D$730)</f>
        <v>1289.26</v>
      </c>
    </row>
    <row r="860" spans="1:4" ht="15">
      <c r="A860" s="361" t="s">
        <v>1009</v>
      </c>
      <c r="B860" s="361" t="s">
        <v>1010</v>
      </c>
      <c r="C860" s="366" t="s">
        <v>1976</v>
      </c>
      <c r="D860" s="278">
        <f>LOOKUP(A860,'[4]PT OCT 2011'!$A$2:$A$730,'[4]PT OCT 2011'!$D$2:$D$730)</f>
        <v>1322.31</v>
      </c>
    </row>
    <row r="861" spans="1:4" ht="15">
      <c r="A861" s="361" t="s">
        <v>1011</v>
      </c>
      <c r="B861" s="361" t="s">
        <v>1012</v>
      </c>
      <c r="C861" s="366" t="s">
        <v>1976</v>
      </c>
      <c r="D861" s="278">
        <f>LOOKUP(A861,'[4]PT OCT 2011'!$A$2:$A$730,'[4]PT OCT 2011'!$D$2:$D$730)</f>
        <v>20.66</v>
      </c>
    </row>
    <row r="862" spans="1:4" ht="15">
      <c r="A862" s="361" t="s">
        <v>1013</v>
      </c>
      <c r="B862" s="361" t="s">
        <v>1014</v>
      </c>
      <c r="C862" s="366" t="s">
        <v>1976</v>
      </c>
      <c r="D862" s="278">
        <f>LOOKUP(A862,'[4]PT OCT 2011'!$A$2:$A$730,'[4]PT OCT 2011'!$D$2:$D$730)</f>
        <v>528.93</v>
      </c>
    </row>
    <row r="863" spans="1:4" ht="15">
      <c r="A863" s="361" t="s">
        <v>1015</v>
      </c>
      <c r="B863" s="361" t="s">
        <v>1016</v>
      </c>
      <c r="C863" s="366" t="s">
        <v>178</v>
      </c>
      <c r="D863" s="278">
        <f>LOOKUP(A863,'[4]PT OCT 2011'!$A$2:$A$730,'[4]PT OCT 2011'!$D$2:$D$730)</f>
        <v>16.36</v>
      </c>
    </row>
    <row r="864" spans="1:4" ht="15">
      <c r="A864" s="361" t="s">
        <v>1017</v>
      </c>
      <c r="B864" s="361" t="s">
        <v>1018</v>
      </c>
      <c r="C864" s="366" t="s">
        <v>178</v>
      </c>
      <c r="D864" s="278">
        <f>LOOKUP(A864,'[4]PT OCT 2011'!$A$2:$A$730,'[4]PT OCT 2011'!$D$2:$D$730)</f>
        <v>16.12</v>
      </c>
    </row>
    <row r="865" spans="1:4" ht="15">
      <c r="A865" s="361" t="s">
        <v>1020</v>
      </c>
      <c r="B865" s="361" t="s">
        <v>1021</v>
      </c>
      <c r="C865" s="366" t="s">
        <v>1976</v>
      </c>
      <c r="D865" s="278">
        <f>LOOKUP(A865,'[4]PT OCT 2011'!$A$2:$A$730,'[4]PT OCT 2011'!$D$2:$D$730)</f>
        <v>74.38</v>
      </c>
    </row>
    <row r="866" spans="1:4" ht="15">
      <c r="A866" s="361" t="s">
        <v>1022</v>
      </c>
      <c r="B866" s="361" t="s">
        <v>1023</v>
      </c>
      <c r="C866" s="366" t="s">
        <v>1976</v>
      </c>
      <c r="D866" s="278">
        <f>LOOKUP(A866,'[4]PT OCT 2011'!$A$2:$A$730,'[4]PT OCT 2011'!$D$2:$D$730)</f>
        <v>38.02</v>
      </c>
    </row>
    <row r="867" spans="1:4" ht="15">
      <c r="A867" s="361" t="s">
        <v>1024</v>
      </c>
      <c r="B867" s="361" t="s">
        <v>1025</v>
      </c>
      <c r="C867" s="366" t="s">
        <v>1976</v>
      </c>
      <c r="D867" s="278">
        <f>LOOKUP(A867,'[4]PT OCT 2011'!$A$2:$A$730,'[4]PT OCT 2011'!$D$2:$D$730)</f>
        <v>47.17</v>
      </c>
    </row>
    <row r="868" spans="1:4" ht="15">
      <c r="A868" s="361" t="s">
        <v>1026</v>
      </c>
      <c r="B868" s="361" t="s">
        <v>1027</v>
      </c>
      <c r="C868" s="366" t="s">
        <v>1849</v>
      </c>
      <c r="D868" s="278">
        <f>LOOKUP(A868,'[4]PT OCT 2011'!$A$2:$A$730,'[4]PT OCT 2011'!$D$2:$D$730)</f>
        <v>19.01</v>
      </c>
    </row>
    <row r="869" spans="1:4" ht="15">
      <c r="A869" s="361" t="s">
        <v>1028</v>
      </c>
      <c r="B869" s="361" t="s">
        <v>1029</v>
      </c>
      <c r="C869" s="366" t="s">
        <v>1849</v>
      </c>
      <c r="D869" s="278">
        <f>LOOKUP(A869,'[4]PT OCT 2011'!$A$2:$A$730,'[4]PT OCT 2011'!$D$2:$D$730)</f>
        <v>17.36</v>
      </c>
    </row>
    <row r="870" spans="1:4" ht="15">
      <c r="A870" s="361" t="s">
        <v>1030</v>
      </c>
      <c r="B870" s="361" t="s">
        <v>1031</v>
      </c>
      <c r="C870" s="366" t="s">
        <v>1849</v>
      </c>
      <c r="D870" s="278">
        <f>LOOKUP(A870,'[4]PT OCT 2011'!$A$2:$A$730,'[4]PT OCT 2011'!$D$2:$D$730)</f>
        <v>14.88</v>
      </c>
    </row>
    <row r="871" spans="1:4" ht="15">
      <c r="A871" s="361" t="s">
        <v>1032</v>
      </c>
      <c r="B871" s="361" t="s">
        <v>1033</v>
      </c>
      <c r="C871" s="366" t="s">
        <v>1849</v>
      </c>
      <c r="D871" s="278">
        <f>LOOKUP(A871,'[4]PT OCT 2011'!$A$2:$A$730,'[4]PT OCT 2011'!$D$2:$D$730)</f>
        <v>14.88</v>
      </c>
    </row>
    <row r="872" spans="1:4" ht="15">
      <c r="A872" s="361" t="s">
        <v>1034</v>
      </c>
      <c r="B872" s="361" t="s">
        <v>1035</v>
      </c>
      <c r="C872" s="366" t="s">
        <v>1849</v>
      </c>
      <c r="D872" s="278">
        <f>LOOKUP(A872,'[4]PT OCT 2011'!$A$2:$A$730,'[4]PT OCT 2011'!$D$2:$D$730)</f>
        <v>16.53</v>
      </c>
    </row>
    <row r="873" spans="1:4" ht="15">
      <c r="A873" s="361" t="s">
        <v>1036</v>
      </c>
      <c r="B873" s="361" t="s">
        <v>1037</v>
      </c>
      <c r="C873" s="366" t="s">
        <v>1976</v>
      </c>
      <c r="D873" s="278">
        <f>LOOKUP(A873,'[4]PT OCT 2011'!$A$2:$A$730,'[4]PT OCT 2011'!$D$2:$D$730)</f>
        <v>47.93</v>
      </c>
    </row>
    <row r="874" spans="1:4" ht="15">
      <c r="A874" s="361" t="s">
        <v>1038</v>
      </c>
      <c r="B874" s="361" t="s">
        <v>1039</v>
      </c>
      <c r="C874" s="366" t="s">
        <v>1976</v>
      </c>
      <c r="D874" s="278">
        <f>LOOKUP(A874,'[4]PT OCT 2011'!$A$2:$A$730,'[4]PT OCT 2011'!$D$2:$D$730)</f>
        <v>39.33</v>
      </c>
    </row>
    <row r="875" spans="1:4" ht="15">
      <c r="A875" s="361" t="s">
        <v>1040</v>
      </c>
      <c r="B875" s="361" t="s">
        <v>1041</v>
      </c>
      <c r="C875" s="366" t="s">
        <v>178</v>
      </c>
      <c r="D875" s="278">
        <f>LOOKUP(A875,'[4]PT OCT 2011'!$A$2:$A$730,'[4]PT OCT 2011'!$D$2:$D$730)</f>
        <v>3.86</v>
      </c>
    </row>
    <row r="876" spans="1:4" ht="15">
      <c r="A876" s="361" t="s">
        <v>1042</v>
      </c>
      <c r="B876" s="361" t="s">
        <v>1041</v>
      </c>
      <c r="C876" s="366" t="s">
        <v>178</v>
      </c>
      <c r="D876" s="278">
        <f>LOOKUP(A876,'[4]PT OCT 2011'!$A$2:$A$730,'[4]PT OCT 2011'!$D$2:$D$730)</f>
        <v>3.86</v>
      </c>
    </row>
    <row r="877" spans="1:4" ht="15">
      <c r="A877" s="361" t="s">
        <v>1043</v>
      </c>
      <c r="B877" s="361" t="s">
        <v>1041</v>
      </c>
      <c r="C877" s="366" t="s">
        <v>1963</v>
      </c>
      <c r="D877" s="278">
        <f>LOOKUP(A877,'[4]PT OCT 2011'!$A$2:$A$730,'[4]PT OCT 2011'!$D$2:$D$730)</f>
        <v>3.86</v>
      </c>
    </row>
    <row r="878" spans="1:4" ht="15">
      <c r="A878" s="361" t="s">
        <v>1044</v>
      </c>
      <c r="B878" s="361" t="s">
        <v>1045</v>
      </c>
      <c r="C878" s="366" t="s">
        <v>1976</v>
      </c>
      <c r="D878" s="278">
        <f>LOOKUP(A878,'[4]PT OCT 2011'!$A$2:$A$730,'[4]PT OCT 2011'!$D$2:$D$730)</f>
        <v>138.325</v>
      </c>
    </row>
    <row r="879" spans="1:4" ht="15">
      <c r="A879" s="361" t="s">
        <v>1046</v>
      </c>
      <c r="B879" s="361" t="s">
        <v>1047</v>
      </c>
      <c r="C879" s="366" t="s">
        <v>1976</v>
      </c>
      <c r="D879" s="278">
        <f>LOOKUP(A879,'[4]PT OCT 2011'!$A$2:$A$730,'[4]PT OCT 2011'!$D$2:$D$730)</f>
        <v>200.205</v>
      </c>
    </row>
    <row r="880" spans="1:4" ht="15">
      <c r="A880" s="361" t="s">
        <v>1048</v>
      </c>
      <c r="B880" s="361" t="s">
        <v>1049</v>
      </c>
      <c r="C880" s="366" t="s">
        <v>1976</v>
      </c>
      <c r="D880" s="278">
        <f>LOOKUP(A880,'[4]PT OCT 2011'!$A$2:$A$730,'[4]PT OCT 2011'!$D$2:$D$730)</f>
        <v>423.83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3">
      <selection activeCell="H32" sqref="H3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21</v>
      </c>
      <c r="C2" s="77" t="str">
        <f>Fecha</f>
        <v>NOV/12</v>
      </c>
      <c r="D2" s="48"/>
      <c r="E2" s="48"/>
      <c r="F2" s="392">
        <f>SUM(F5:F9)</f>
        <v>19.698523939999998</v>
      </c>
      <c r="G2" s="41"/>
    </row>
    <row r="3" spans="1:7" ht="13.5" thickBot="1">
      <c r="A3" s="7" t="s">
        <v>345</v>
      </c>
      <c r="B3" s="7" t="s">
        <v>1822</v>
      </c>
      <c r="C3" s="78" t="s">
        <v>344</v>
      </c>
      <c r="D3" s="49" t="s">
        <v>22</v>
      </c>
      <c r="E3" s="50"/>
      <c r="F3" s="68"/>
      <c r="G3" s="42" t="s">
        <v>1849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VLOOKUP(A5,'IN-12-11'!A6:D880,4)</f>
        <v>359.8367</v>
      </c>
      <c r="F5" s="69">
        <f>(D5*E5)</f>
        <v>2.9506609399999997</v>
      </c>
    </row>
    <row r="6" spans="1:6" ht="12.75">
      <c r="A6" s="3" t="s">
        <v>1721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VLOOKUP(A6,'IN-12-11'!A7:D881,4)</f>
        <v>10.86</v>
      </c>
      <c r="F6" s="69">
        <f>(D6*E6)</f>
        <v>0.7602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VLOOKUP(A7,'IN-12-11'!A8:D882,4)</f>
        <v>50.665</v>
      </c>
      <c r="F7" s="69">
        <f>(D7*E7)</f>
        <v>4.164663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VLOOKUP(A9,'IN-12-11'!A10:D884,4)</f>
        <v>39.41</v>
      </c>
      <c r="F9" s="69">
        <f>(D9*E9)</f>
        <v>11.822999999999999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346</v>
      </c>
      <c r="B11" s="391" t="s">
        <v>1933</v>
      </c>
      <c r="C11" s="77" t="str">
        <f>Fecha</f>
        <v>NOV/12</v>
      </c>
      <c r="D11" s="48"/>
      <c r="E11" s="48"/>
      <c r="F11" s="392">
        <f>SUM(F14:F18)</f>
        <v>164.79234399999999</v>
      </c>
      <c r="G11" s="41"/>
    </row>
    <row r="12" spans="1:7" ht="13.5" thickBot="1">
      <c r="A12" s="7" t="s">
        <v>345</v>
      </c>
      <c r="B12" s="7" t="s">
        <v>1822</v>
      </c>
      <c r="C12" s="78" t="s">
        <v>344</v>
      </c>
      <c r="D12" s="49" t="s">
        <v>23</v>
      </c>
      <c r="E12" s="50"/>
      <c r="F12" s="68"/>
      <c r="G12" s="42" t="s">
        <v>178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1678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VLOOKUP(A14,'IN-12-11'!A15:D889,4)</f>
        <v>0.92</v>
      </c>
      <c r="F14" s="69">
        <f>(D14*E14)</f>
        <v>43.056000000000004</v>
      </c>
    </row>
    <row r="15" spans="1:6" ht="12.75">
      <c r="A15" s="3" t="s">
        <v>1677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VLOOKUP(A15,'IN-12-11'!A7:D890,4)</f>
        <v>5.6933</v>
      </c>
      <c r="F15" s="69">
        <f>(D15*E15)</f>
        <v>2.27732</v>
      </c>
    </row>
    <row r="16" spans="1:6" ht="12.75">
      <c r="A16" s="3" t="s">
        <v>1690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VLOOKUP(A16,'IN-12-11'!A17:D891,4)</f>
        <v>97.34</v>
      </c>
      <c r="F16" s="69">
        <f>(D16*E16)</f>
        <v>9.111024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VLOOKUP(A18,'IN-12-11'!A19:D893,4)</f>
        <v>39.41</v>
      </c>
      <c r="F18" s="69">
        <f>(D18*E18)</f>
        <v>110.34799999999998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346</v>
      </c>
      <c r="B20" s="391" t="s">
        <v>24</v>
      </c>
      <c r="C20" s="77" t="str">
        <f>Fecha</f>
        <v>NOV/12</v>
      </c>
      <c r="D20" s="48"/>
      <c r="E20" s="48"/>
      <c r="F20" s="392">
        <f>SUM(F23:F36)</f>
        <v>230.8145902</v>
      </c>
      <c r="G20" s="41"/>
    </row>
    <row r="21" spans="1:7" ht="13.5" thickBot="1">
      <c r="A21" s="7" t="s">
        <v>345</v>
      </c>
      <c r="B21" s="7" t="s">
        <v>1822</v>
      </c>
      <c r="C21" s="78" t="s">
        <v>344</v>
      </c>
      <c r="D21" s="49" t="s">
        <v>1823</v>
      </c>
      <c r="E21" s="50"/>
      <c r="F21" s="68"/>
      <c r="G21" s="42" t="s">
        <v>1849</v>
      </c>
    </row>
    <row r="22" spans="1:6" ht="13.5" thickTop="1">
      <c r="A22" s="82" t="s">
        <v>350</v>
      </c>
      <c r="D22" s="51"/>
      <c r="E22" s="51"/>
      <c r="F22" s="69"/>
    </row>
    <row r="23" spans="1:6" ht="12.75">
      <c r="A23" s="3" t="s">
        <v>1678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VLOOKUP(A23,'IN-12-11'!A24:D898,4)</f>
        <v>0.92</v>
      </c>
      <c r="F23" s="69">
        <f aca="true" t="shared" si="2" ref="F23:F32">(D23*E23)</f>
        <v>33.7364</v>
      </c>
    </row>
    <row r="24" spans="1:6" ht="12.75">
      <c r="A24" s="3" t="s">
        <v>1679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VLOOKUP(A24,'IN-12-11'!A25:D899,4)</f>
        <v>90.4</v>
      </c>
      <c r="F24" s="69">
        <f t="shared" si="2"/>
        <v>9.3112</v>
      </c>
    </row>
    <row r="25" spans="1:6" ht="12.75">
      <c r="A25" s="3" t="s">
        <v>1680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VLOOKUP(A25,'IN-12-11'!A26:D900,4)</f>
        <v>101</v>
      </c>
      <c r="F25" s="69">
        <f t="shared" si="2"/>
        <v>8.888</v>
      </c>
    </row>
    <row r="26" spans="1:6" ht="12.75">
      <c r="A26" s="3" t="s">
        <v>1824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VLOOKUP(A26,'IN-12-11'!A14:D901,4)</f>
        <v>20.25</v>
      </c>
      <c r="F26" s="69">
        <f t="shared" si="2"/>
        <v>20.25</v>
      </c>
    </row>
    <row r="27" spans="1:6" ht="12.75">
      <c r="A27" s="3" t="s">
        <v>1825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VLOOKUP(A27,'IN-12-11'!A16:D902,4)</f>
        <v>0.4867</v>
      </c>
      <c r="F27" s="69">
        <f t="shared" si="2"/>
        <v>0.9734</v>
      </c>
    </row>
    <row r="28" spans="1:6" ht="12.75">
      <c r="A28" s="3" t="s">
        <v>1720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VLOOKUP(A28,'IN-12-11'!A6:D903,4)</f>
        <v>359.8367</v>
      </c>
      <c r="F28" s="69">
        <f t="shared" si="2"/>
        <v>2.1590202</v>
      </c>
    </row>
    <row r="29" spans="1:6" ht="12.75">
      <c r="A29" s="3" t="s">
        <v>1826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VLOOKUP(A29,'IN-12-11'!A21:D904,4)</f>
        <v>3.48</v>
      </c>
      <c r="F29" s="69">
        <f t="shared" si="2"/>
        <v>3.48</v>
      </c>
    </row>
    <row r="30" spans="1:6" ht="12.75">
      <c r="A30" s="3" t="s">
        <v>1827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VLOOKUP(A30,'IN-12-11'!A18:D905,4)</f>
        <v>2.6933</v>
      </c>
      <c r="F30" s="69">
        <f t="shared" si="2"/>
        <v>2.6933</v>
      </c>
    </row>
    <row r="31" spans="1:6" ht="12.75">
      <c r="A31" s="3" t="s">
        <v>1828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VLOOKUP(A31,'IN-12-11'!A32:D906,4)</f>
        <v>179.34</v>
      </c>
      <c r="F31" s="69">
        <f t="shared" si="2"/>
        <v>2.33142</v>
      </c>
    </row>
    <row r="32" spans="1:6" ht="12.75">
      <c r="A32" s="3" t="s">
        <v>1829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VLOOKUP(A32,'IN-12-11'!A33:D907,4)</f>
        <v>109.505</v>
      </c>
      <c r="F32" s="69">
        <f t="shared" si="2"/>
        <v>36.13665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VLOOKUP(A34,'IN-12-11'!A35:D909,4)</f>
        <v>39.41</v>
      </c>
      <c r="F34" s="69">
        <f>(D34*E34)</f>
        <v>106.407</v>
      </c>
    </row>
    <row r="35" spans="1:6" ht="12.75">
      <c r="A35" s="84" t="s">
        <v>352</v>
      </c>
      <c r="B35" s="4"/>
      <c r="C35" s="6"/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VLOOKUP(A36,'IN-12-11'!A37:D911,4)</f>
        <v>444.82</v>
      </c>
      <c r="F36" s="69">
        <f>(D36*E36)</f>
        <v>4.4482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346</v>
      </c>
      <c r="B38" s="391" t="s">
        <v>25</v>
      </c>
      <c r="C38" s="77" t="str">
        <f>Fecha</f>
        <v>NOV/12</v>
      </c>
      <c r="D38" s="48"/>
      <c r="E38" s="48"/>
      <c r="F38" s="392">
        <f>SUM(F41:F46)</f>
        <v>1033.6237999999998</v>
      </c>
      <c r="G38" s="41"/>
    </row>
    <row r="39" spans="1:7" ht="13.5" thickBot="1">
      <c r="A39" s="7" t="s">
        <v>345</v>
      </c>
      <c r="B39" s="7" t="s">
        <v>1822</v>
      </c>
      <c r="C39" s="78" t="s">
        <v>344</v>
      </c>
      <c r="D39" s="49" t="s">
        <v>1935</v>
      </c>
      <c r="E39" s="50"/>
      <c r="F39" s="68"/>
      <c r="G39" s="42" t="s">
        <v>347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1401</v>
      </c>
      <c r="B41" s="4" t="str">
        <f>VLOOKUP(A41,'IN-12-11'!$A$5:$D$441,2)</f>
        <v>bacha simple acero inox. 52 x 32x18</v>
      </c>
      <c r="C41" s="4" t="str">
        <f>VLOOKUP(A41,'IN-12-11'!$A$5:$D$441,3)</f>
        <v>u</v>
      </c>
      <c r="D41" s="51">
        <v>1</v>
      </c>
      <c r="E41" s="51">
        <f>VLOOKUP(A41,'IN-12-11'!A42:D916,4)</f>
        <v>304.98</v>
      </c>
      <c r="F41" s="69">
        <f>(D41*E41)</f>
        <v>304.98</v>
      </c>
    </row>
    <row r="42" spans="1:6" ht="12.75">
      <c r="A42" s="3" t="s">
        <v>1710</v>
      </c>
      <c r="B42" s="4" t="str">
        <f>VLOOKUP(A42,'IN-12-11'!$A$5:$D$441,2)</f>
        <v>mesada granito reconst. 4 cm. de espesor</v>
      </c>
      <c r="C42" s="4" t="str">
        <f>VLOOKUP(A42,'IN-12-11'!$A$5:$D$441,3)</f>
        <v>m2</v>
      </c>
      <c r="D42" s="51">
        <v>1.2</v>
      </c>
      <c r="E42" s="51">
        <f>VLOOKUP(A42,'IN-12-11'!A43:D917,4)</f>
        <v>438.02</v>
      </c>
      <c r="F42" s="69">
        <f>(D42*E42)</f>
        <v>525.6239999999999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VLOOKUP(A44,'IN-12-11'!A45:D919,4)</f>
        <v>39.41</v>
      </c>
      <c r="F44" s="69">
        <f>(D44*E44)</f>
        <v>185.227</v>
      </c>
    </row>
    <row r="45" spans="1:6" ht="12.75">
      <c r="A45" s="84" t="s">
        <v>352</v>
      </c>
      <c r="B45" s="4"/>
      <c r="C45" s="6"/>
      <c r="D45" s="51"/>
      <c r="E45" s="51"/>
      <c r="F45" s="69"/>
    </row>
    <row r="46" spans="1:6" ht="12.75">
      <c r="A46" s="3" t="s">
        <v>1681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VLOOKUP(A46,'IN-12-11'!A47:D921,4)</f>
        <v>444.82</v>
      </c>
      <c r="F46" s="69">
        <f>(D46*E46)</f>
        <v>17.7928</v>
      </c>
    </row>
    <row r="47" ht="13.5" thickBot="1"/>
    <row r="48" spans="1:7" ht="13.5" thickTop="1">
      <c r="A48" s="75" t="s">
        <v>346</v>
      </c>
      <c r="B48" s="391" t="s">
        <v>26</v>
      </c>
      <c r="C48" s="77" t="str">
        <f>Fecha</f>
        <v>NOV/12</v>
      </c>
      <c r="D48" s="48"/>
      <c r="E48" s="48"/>
      <c r="F48" s="392">
        <f>SUM(F51:F55)</f>
        <v>62.74335</v>
      </c>
      <c r="G48" s="41"/>
    </row>
    <row r="49" spans="1:7" ht="13.5" thickBot="1">
      <c r="A49" s="7" t="s">
        <v>345</v>
      </c>
      <c r="B49" s="7" t="s">
        <v>1822</v>
      </c>
      <c r="C49" s="78" t="s">
        <v>344</v>
      </c>
      <c r="D49" s="49" t="s">
        <v>27</v>
      </c>
      <c r="E49" s="50"/>
      <c r="F49" s="68"/>
      <c r="G49" s="42" t="s">
        <v>347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190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VLOOKUP(A51,'IN-12-11'!A52:D926,4)</f>
        <v>10.0467</v>
      </c>
      <c r="F51" s="69">
        <f>(D51*E51)</f>
        <v>5.02335</v>
      </c>
    </row>
    <row r="52" spans="1:6" ht="12.75">
      <c r="A52" s="3" t="s">
        <v>189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VLOOKUP(A52,'IN-12-11'!A53:D927,4)</f>
        <v>38.015</v>
      </c>
      <c r="F52" s="69">
        <f>(D52*E52)</f>
        <v>38.015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VLOOKUP(A54,'IN-12-11'!A55:D929,4)</f>
        <v>39.41</v>
      </c>
      <c r="F54" s="69">
        <f>(D54*E54)</f>
        <v>19.705</v>
      </c>
    </row>
    <row r="55" spans="1:6" ht="12.75">
      <c r="A55" s="84" t="s">
        <v>352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346</v>
      </c>
      <c r="B57" s="391" t="s">
        <v>28</v>
      </c>
      <c r="C57" s="77" t="str">
        <f>Fecha</f>
        <v>NOV/12</v>
      </c>
      <c r="D57" s="48"/>
      <c r="E57" s="48"/>
      <c r="F57" s="392">
        <f>SUM(F60:F64)</f>
        <v>1023.8178</v>
      </c>
      <c r="G57" s="41"/>
    </row>
    <row r="58" spans="1:7" ht="13.5" thickBot="1">
      <c r="A58" s="7" t="s">
        <v>345</v>
      </c>
      <c r="B58" s="7" t="s">
        <v>1822</v>
      </c>
      <c r="C58" s="78" t="s">
        <v>344</v>
      </c>
      <c r="D58" s="49" t="s">
        <v>29</v>
      </c>
      <c r="E58" s="50"/>
      <c r="F58" s="68"/>
      <c r="G58" s="42" t="s">
        <v>347</v>
      </c>
    </row>
    <row r="59" spans="1:6" ht="13.5" thickTop="1">
      <c r="A59" s="82" t="s">
        <v>350</v>
      </c>
      <c r="D59" s="51"/>
      <c r="E59" s="51"/>
      <c r="F59" s="69"/>
    </row>
    <row r="60" spans="1:6" ht="12.75">
      <c r="A60" s="3" t="s">
        <v>53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VLOOKUP(A60,'IN-12-11'!A61:D935,4)</f>
        <v>24.3167</v>
      </c>
      <c r="F60" s="69">
        <f>(D60*E60)</f>
        <v>826.7678000000001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351</v>
      </c>
      <c r="D62" s="51"/>
      <c r="E62" s="51"/>
      <c r="F62" s="69"/>
    </row>
    <row r="63" spans="1:6" ht="12.75">
      <c r="A63" s="3" t="s">
        <v>1675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VLOOKUP(A63,'IN-12-11'!A64:D938,4)</f>
        <v>39.41</v>
      </c>
      <c r="F63" s="69">
        <f>(D63*E63)</f>
        <v>197.04999999999998</v>
      </c>
    </row>
    <row r="64" spans="1:6" ht="12.75">
      <c r="A64" s="84" t="s">
        <v>352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391" t="s">
        <v>192</v>
      </c>
      <c r="C66" s="77" t="str">
        <f>Fecha</f>
        <v>NOV/12</v>
      </c>
      <c r="D66" s="48"/>
      <c r="E66" s="48"/>
      <c r="F66" s="392">
        <f>SUM(F69:F71)</f>
        <v>5.62194</v>
      </c>
      <c r="G66" s="41"/>
    </row>
    <row r="67" spans="1:7" ht="13.5" thickBot="1">
      <c r="A67" s="7" t="s">
        <v>345</v>
      </c>
      <c r="B67" s="7" t="s">
        <v>1822</v>
      </c>
      <c r="C67" s="78" t="s">
        <v>344</v>
      </c>
      <c r="D67" s="49" t="s">
        <v>1955</v>
      </c>
      <c r="E67" s="50"/>
      <c r="F67" s="68"/>
      <c r="G67" s="42" t="s">
        <v>1976</v>
      </c>
    </row>
    <row r="68" spans="1:6" ht="13.5" thickTop="1">
      <c r="A68" s="82" t="s">
        <v>351</v>
      </c>
      <c r="D68" s="51"/>
      <c r="E68" s="51"/>
      <c r="F68" s="69"/>
    </row>
    <row r="69" spans="1:6" ht="12.75">
      <c r="A69" s="3" t="s">
        <v>1675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39.41</v>
      </c>
      <c r="F69" s="69">
        <f>(D69*E69)</f>
        <v>2.52224</v>
      </c>
    </row>
    <row r="70" spans="1:6" ht="12.75">
      <c r="A70" s="82" t="s">
        <v>352</v>
      </c>
      <c r="D70" s="51"/>
      <c r="E70" s="51"/>
      <c r="F70" s="69"/>
    </row>
    <row r="71" spans="1:6" ht="12.75">
      <c r="A71" s="3" t="s">
        <v>1676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309.97</v>
      </c>
      <c r="F71" s="69">
        <f>(D71*E71)</f>
        <v>3.0997000000000003</v>
      </c>
    </row>
    <row r="72" ht="13.5" thickBot="1"/>
    <row r="73" spans="1:7" ht="13.5" thickTop="1">
      <c r="A73" s="75" t="s">
        <v>346</v>
      </c>
      <c r="B73" s="391" t="s">
        <v>327</v>
      </c>
      <c r="C73" s="77" t="str">
        <f>Fecha</f>
        <v>NOV/12</v>
      </c>
      <c r="D73" s="48"/>
      <c r="E73" s="48"/>
      <c r="F73" s="392">
        <f>SUM(F76:F79)</f>
        <v>3976.5519999999997</v>
      </c>
      <c r="G73" s="41"/>
    </row>
    <row r="74" spans="1:7" ht="13.5" thickBot="1">
      <c r="A74" s="7" t="s">
        <v>345</v>
      </c>
      <c r="B74" s="7" t="s">
        <v>1822</v>
      </c>
      <c r="C74" s="78" t="s">
        <v>344</v>
      </c>
      <c r="D74" s="49" t="s">
        <v>333</v>
      </c>
      <c r="E74" s="50"/>
      <c r="F74" s="68"/>
      <c r="G74" s="42" t="s">
        <v>178</v>
      </c>
    </row>
    <row r="75" spans="1:6" ht="13.5" thickTop="1">
      <c r="A75" s="82" t="s">
        <v>350</v>
      </c>
      <c r="D75" s="51"/>
      <c r="E75" s="51"/>
      <c r="F75" s="69"/>
    </row>
    <row r="76" spans="1:6" ht="12.75">
      <c r="A76" s="3" t="s">
        <v>334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120</v>
      </c>
      <c r="F76" s="69">
        <f>(D76*E76)</f>
        <v>228.672</v>
      </c>
    </row>
    <row r="77" spans="1:6" ht="12.75">
      <c r="A77" s="3" t="s">
        <v>335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16.53</v>
      </c>
      <c r="F77" s="69">
        <f>(D77*E77)</f>
        <v>595.08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39.41</v>
      </c>
      <c r="F79" s="69">
        <f>(D79*E79)</f>
        <v>3152.7999999999997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346</v>
      </c>
      <c r="B81" s="391" t="s">
        <v>331</v>
      </c>
      <c r="C81" s="77" t="str">
        <f>Fecha</f>
        <v>NOV/12</v>
      </c>
      <c r="D81" s="48"/>
      <c r="E81" s="48"/>
      <c r="F81" s="392">
        <f>SUM(F84:F90)</f>
        <v>612.9463999999999</v>
      </c>
      <c r="G81" s="41"/>
    </row>
    <row r="82" spans="1:7" ht="13.5" thickBot="1">
      <c r="A82" s="7" t="s">
        <v>345</v>
      </c>
      <c r="B82" s="7" t="s">
        <v>1822</v>
      </c>
      <c r="C82" s="78" t="s">
        <v>344</v>
      </c>
      <c r="D82" s="49" t="s">
        <v>374</v>
      </c>
      <c r="E82" s="50"/>
      <c r="F82" s="68"/>
      <c r="G82" s="42" t="s">
        <v>2023</v>
      </c>
    </row>
    <row r="83" spans="1:6" ht="13.5" thickTop="1">
      <c r="A83" s="82" t="s">
        <v>350</v>
      </c>
      <c r="D83" s="51"/>
      <c r="E83" s="51"/>
      <c r="F83" s="69"/>
    </row>
    <row r="84" spans="1:6" ht="12.75">
      <c r="A84" s="3" t="s">
        <v>1678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0.92</v>
      </c>
      <c r="F84" s="69">
        <f>(D84*E84)</f>
        <v>322</v>
      </c>
    </row>
    <row r="85" spans="1:6" ht="12.75">
      <c r="A85" s="3" t="s">
        <v>1680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101</v>
      </c>
      <c r="F85" s="69">
        <f>(D85*E85)</f>
        <v>65.65</v>
      </c>
    </row>
    <row r="86" spans="1:6" ht="12.75">
      <c r="A86" s="3" t="s">
        <v>1679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90.4</v>
      </c>
      <c r="F86" s="69">
        <f>(D86*E86)</f>
        <v>58.760000000000005</v>
      </c>
    </row>
    <row r="87" spans="1:6" ht="12.75">
      <c r="A87" s="82" t="s">
        <v>351</v>
      </c>
      <c r="D87" s="51"/>
      <c r="E87" s="51"/>
      <c r="F87" s="69"/>
    </row>
    <row r="88" spans="1:6" ht="12.75">
      <c r="A88" s="3" t="s">
        <v>1675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39.41</v>
      </c>
      <c r="F88" s="69">
        <f>(D88*E88)</f>
        <v>157.64</v>
      </c>
    </row>
    <row r="89" spans="1:6" ht="12.75">
      <c r="A89" s="84" t="s">
        <v>352</v>
      </c>
      <c r="B89" s="4"/>
      <c r="C89" s="6"/>
      <c r="D89" s="51"/>
      <c r="E89" s="51"/>
      <c r="F89" s="69"/>
    </row>
    <row r="90" spans="1:6" ht="12.75">
      <c r="A90" s="3" t="s">
        <v>1681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444.82</v>
      </c>
      <c r="F90" s="69">
        <f>(D90*E90)</f>
        <v>8.8964</v>
      </c>
    </row>
    <row r="91" ht="13.5" thickBot="1"/>
    <row r="92" spans="1:7" ht="13.5" thickTop="1">
      <c r="A92" s="75" t="s">
        <v>346</v>
      </c>
      <c r="B92" s="391" t="s">
        <v>362</v>
      </c>
      <c r="C92" s="77" t="str">
        <f>Fecha</f>
        <v>NOV/12</v>
      </c>
      <c r="D92" s="48"/>
      <c r="E92" s="48"/>
      <c r="F92" s="392">
        <f>SUM(F95:F99)</f>
        <v>1330.8741</v>
      </c>
      <c r="G92" s="41"/>
    </row>
    <row r="93" spans="1:7" ht="13.5" thickBot="1">
      <c r="A93" s="7" t="s">
        <v>345</v>
      </c>
      <c r="B93" s="7" t="s">
        <v>1822</v>
      </c>
      <c r="C93" s="78" t="s">
        <v>344</v>
      </c>
      <c r="D93" s="49" t="s">
        <v>363</v>
      </c>
      <c r="E93" s="50"/>
      <c r="F93" s="68"/>
      <c r="G93" s="42" t="s">
        <v>347</v>
      </c>
    </row>
    <row r="94" spans="1:6" ht="13.5" thickTop="1">
      <c r="A94" s="82" t="s">
        <v>350</v>
      </c>
      <c r="D94" s="51"/>
      <c r="E94" s="51"/>
      <c r="F94" s="69"/>
    </row>
    <row r="95" spans="1:6" ht="12.75">
      <c r="A95" s="3" t="s">
        <v>364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322.31</v>
      </c>
      <c r="F95" s="69">
        <f>(D95*E95)</f>
        <v>1289.24</v>
      </c>
    </row>
    <row r="96" spans="1:6" ht="12.75">
      <c r="A96" s="82" t="s">
        <v>351</v>
      </c>
      <c r="D96" s="51"/>
      <c r="E96" s="51"/>
      <c r="F96" s="69"/>
    </row>
    <row r="97" spans="1:6" ht="12.75">
      <c r="A97" s="3" t="s">
        <v>1675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39.41</v>
      </c>
      <c r="F97" s="69">
        <f>(D97*E97)</f>
        <v>39.41</v>
      </c>
    </row>
    <row r="98" spans="1:6" ht="12.75">
      <c r="A98" s="84" t="s">
        <v>352</v>
      </c>
      <c r="B98" s="4"/>
      <c r="C98" s="6"/>
      <c r="D98" s="51"/>
      <c r="E98" s="51"/>
      <c r="F98" s="69"/>
    </row>
    <row r="99" spans="1:6" ht="12.75">
      <c r="A99" s="3" t="s">
        <v>1681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444.82</v>
      </c>
      <c r="F99" s="69">
        <f>(D99*E99)</f>
        <v>2.2241</v>
      </c>
    </row>
    <row r="100" ht="13.5" thickBot="1"/>
    <row r="101" spans="1:7" ht="13.5" thickTop="1">
      <c r="A101" s="75" t="s">
        <v>346</v>
      </c>
      <c r="B101" s="391" t="s">
        <v>384</v>
      </c>
      <c r="C101" s="77" t="str">
        <f>Fecha</f>
        <v>NOV/12</v>
      </c>
      <c r="D101" s="48"/>
      <c r="E101" s="48"/>
      <c r="F101" s="392">
        <f>SUM(F104:F109)</f>
        <v>1370.8118</v>
      </c>
      <c r="G101" s="41"/>
    </row>
    <row r="102" spans="1:7" ht="13.5" thickBot="1">
      <c r="A102" s="7" t="s">
        <v>345</v>
      </c>
      <c r="B102" s="7" t="s">
        <v>1822</v>
      </c>
      <c r="C102" s="78" t="s">
        <v>344</v>
      </c>
      <c r="D102" s="49" t="s">
        <v>386</v>
      </c>
      <c r="E102" s="50"/>
      <c r="F102" s="68"/>
      <c r="G102" s="42" t="s">
        <v>347</v>
      </c>
    </row>
    <row r="103" spans="1:6" ht="13.5" thickTop="1">
      <c r="A103" s="82" t="s">
        <v>350</v>
      </c>
      <c r="D103" s="51"/>
      <c r="E103" s="51"/>
      <c r="F103" s="69"/>
    </row>
    <row r="104" spans="1:6" ht="12.75">
      <c r="A104" s="3" t="s">
        <v>1401</v>
      </c>
      <c r="B104" s="4" t="str">
        <f>VLOOKUP(A104,'IN-12-11'!$A$5:$D$441,2)</f>
        <v>bacha simple acero inox. 52 x 32x18</v>
      </c>
      <c r="C104" s="4" t="str">
        <f>VLOOKUP(A104,'IN-12-11'!$A$5:$D$441,3)</f>
        <v>u</v>
      </c>
      <c r="D104" s="51">
        <v>1</v>
      </c>
      <c r="E104" s="51">
        <f>VLOOKUP(A104,Insumos,4)</f>
        <v>304.98</v>
      </c>
      <c r="F104" s="69">
        <f>(D104*E104)</f>
        <v>304.98</v>
      </c>
    </row>
    <row r="105" spans="1:6" ht="12.75">
      <c r="A105" s="3" t="s">
        <v>387</v>
      </c>
      <c r="B105" s="4" t="str">
        <f>VLOOKUP(A105,'IN-12-11'!$A$5:$D$441,2)</f>
        <v>mesada granito natural nacional  e=2cm.</v>
      </c>
      <c r="C105" s="4" t="str">
        <f>VLOOKUP(A105,'IN-12-11'!$A$5:$D$441,3)</f>
        <v>m2</v>
      </c>
      <c r="D105" s="51">
        <v>1.2</v>
      </c>
      <c r="E105" s="51">
        <f>VLOOKUP(A105,Insumos,4)</f>
        <v>719.01</v>
      </c>
      <c r="F105" s="69">
        <f>(D105*E105)</f>
        <v>862.812</v>
      </c>
    </row>
    <row r="106" spans="1:6" ht="12.75">
      <c r="A106" s="82" t="s">
        <v>351</v>
      </c>
      <c r="D106" s="51"/>
      <c r="E106" s="51"/>
      <c r="F106" s="69"/>
    </row>
    <row r="107" spans="1:6" ht="12.75">
      <c r="A107" s="3" t="s">
        <v>1675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39.41</v>
      </c>
      <c r="F107" s="69">
        <f>(D107*E107)</f>
        <v>185.227</v>
      </c>
    </row>
    <row r="108" spans="1:6" ht="12.75">
      <c r="A108" s="84" t="s">
        <v>352</v>
      </c>
      <c r="B108" s="4"/>
      <c r="C108" s="6"/>
      <c r="D108" s="51"/>
      <c r="E108" s="51"/>
      <c r="F108" s="69"/>
    </row>
    <row r="109" spans="1:6" ht="12.75">
      <c r="A109" s="3" t="s">
        <v>1681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444.82</v>
      </c>
      <c r="F109" s="69">
        <f>(D109*E109)</f>
        <v>17.7928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E27" sqref="E2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1831</v>
      </c>
      <c r="C2" s="77" t="str">
        <f>Fecha</f>
        <v>NOV/12</v>
      </c>
      <c r="D2" s="48"/>
      <c r="E2" s="48"/>
      <c r="F2" s="392">
        <f>SUM(F4:F16)</f>
        <v>143.1709151</v>
      </c>
      <c r="G2" s="41"/>
    </row>
    <row r="3" spans="1:7" ht="13.5" thickBot="1">
      <c r="A3" s="7" t="s">
        <v>345</v>
      </c>
      <c r="B3" s="7" t="s">
        <v>1830</v>
      </c>
      <c r="C3" s="78" t="s">
        <v>344</v>
      </c>
      <c r="D3" s="49" t="s">
        <v>193</v>
      </c>
      <c r="E3" s="50"/>
      <c r="F3" s="68"/>
      <c r="G3" s="42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155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VLOOKUP(A5,'IN-12-11'!A6:D880,4)</f>
        <v>14.04</v>
      </c>
      <c r="F5" s="72">
        <f aca="true" t="shared" si="0" ref="F5:F12">(D5*E5)</f>
        <v>55.51416</v>
      </c>
      <c r="G5" s="10"/>
    </row>
    <row r="6" spans="1:7" ht="12.75">
      <c r="A6" s="11" t="s">
        <v>157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VLOOKUP(A6,'IN-12-11'!A7:D881,4)</f>
        <v>33.27</v>
      </c>
      <c r="F6" s="72">
        <f t="shared" si="0"/>
        <v>4.72434</v>
      </c>
      <c r="G6" s="10"/>
    </row>
    <row r="7" spans="1:7" ht="12.75">
      <c r="A7" s="11" t="s">
        <v>163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VLOOKUP(A7,'IN-12-11'!A8:D882,4)</f>
        <v>686.29</v>
      </c>
      <c r="F7" s="72">
        <f t="shared" si="0"/>
        <v>6.8629</v>
      </c>
      <c r="G7" s="10"/>
    </row>
    <row r="8" spans="1:7" ht="12.75">
      <c r="A8" s="11" t="s">
        <v>153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VLOOKUP(A8,'IN-12-11'!A9:D883,4)</f>
        <v>3.4433</v>
      </c>
      <c r="F8" s="72">
        <f t="shared" si="0"/>
        <v>7.57526</v>
      </c>
      <c r="G8" s="10"/>
    </row>
    <row r="9" spans="1:7" ht="12.75">
      <c r="A9" s="11" t="s">
        <v>198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VLOOKUP(A9,'IN-12-11'!A10:D884,4)</f>
        <v>92.64</v>
      </c>
      <c r="F9" s="72">
        <f t="shared" si="0"/>
        <v>0.6484800000000001</v>
      </c>
      <c r="G9" s="10"/>
    </row>
    <row r="10" spans="1:7" ht="12.75">
      <c r="A10" s="11" t="s">
        <v>1678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VLOOKUP(A10,'IN-12-11'!A11:D885,4)</f>
        <v>0.92</v>
      </c>
      <c r="F10" s="72">
        <f t="shared" si="0"/>
        <v>1.00188</v>
      </c>
      <c r="G10" s="10"/>
    </row>
    <row r="11" spans="1:7" ht="12.75">
      <c r="A11" s="11" t="s">
        <v>1950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VLOOKUP(A11,'IN-12-11'!A12:D886,4)</f>
        <v>111.6167</v>
      </c>
      <c r="F11" s="72">
        <f t="shared" si="0"/>
        <v>0.7813169</v>
      </c>
      <c r="G11" s="10"/>
    </row>
    <row r="12" spans="1:7" ht="12.75">
      <c r="A12" s="11" t="s">
        <v>1677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VLOOKUP(A12,'IN-12-11'!A7:D887,4)</f>
        <v>5.6933</v>
      </c>
      <c r="F12" s="72">
        <f t="shared" si="0"/>
        <v>0.3074382</v>
      </c>
      <c r="G12" s="10"/>
    </row>
    <row r="13" spans="1:7" ht="12.75">
      <c r="A13" s="83" t="s">
        <v>351</v>
      </c>
      <c r="B13" s="9"/>
      <c r="C13" s="10"/>
      <c r="D13" s="56"/>
      <c r="E13" s="51"/>
      <c r="F13" s="72"/>
      <c r="G13" s="10"/>
    </row>
    <row r="14" spans="1:7" ht="12.75">
      <c r="A14" s="11" t="s">
        <v>1707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VLOOKUP(A14,'IN-12-11'!A15:D889,4)</f>
        <v>45.8</v>
      </c>
      <c r="F14" s="72">
        <f>(D14*E14)</f>
        <v>40.8994</v>
      </c>
      <c r="G14" s="10"/>
    </row>
    <row r="15" spans="1:7" ht="12.75">
      <c r="A15" s="83" t="s">
        <v>352</v>
      </c>
      <c r="B15" s="4"/>
      <c r="C15" s="10"/>
      <c r="D15" s="56"/>
      <c r="E15" s="51"/>
      <c r="F15" s="72"/>
      <c r="G15" s="10"/>
    </row>
    <row r="16" spans="1:7" ht="12.75">
      <c r="A16" s="11" t="s">
        <v>1995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VLOOKUP(A16,'IN-12-11'!A17:D891,4)</f>
        <v>253.63</v>
      </c>
      <c r="F16" s="72">
        <f>(D16*E16)</f>
        <v>24.85574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346</v>
      </c>
      <c r="B18" s="391" t="s">
        <v>1832</v>
      </c>
      <c r="C18" s="77" t="str">
        <f>Fecha</f>
        <v>NOV/12</v>
      </c>
      <c r="D18" s="48"/>
      <c r="E18" s="48"/>
      <c r="F18" s="392">
        <f>SUM(F20:F30)</f>
        <v>131.3784671</v>
      </c>
      <c r="G18" s="41"/>
    </row>
    <row r="19" spans="1:7" ht="13.5" thickBot="1">
      <c r="A19" s="7" t="s">
        <v>345</v>
      </c>
      <c r="B19" s="7" t="s">
        <v>1830</v>
      </c>
      <c r="C19" s="78" t="s">
        <v>344</v>
      </c>
      <c r="D19" s="49" t="s">
        <v>30</v>
      </c>
      <c r="E19" s="50"/>
      <c r="F19" s="68"/>
      <c r="G19" s="42" t="s">
        <v>1849</v>
      </c>
    </row>
    <row r="20" spans="1:7" ht="13.5" thickTop="1">
      <c r="A20" s="83" t="s">
        <v>350</v>
      </c>
      <c r="B20" s="9"/>
      <c r="C20" s="10"/>
      <c r="D20" s="56"/>
      <c r="E20" s="56"/>
      <c r="F20" s="72"/>
      <c r="G20" s="10"/>
    </row>
    <row r="21" spans="1:7" ht="12.75">
      <c r="A21" s="11" t="s">
        <v>155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VLOOKUP(A21,'IN-12-11'!A22:D896,4)</f>
        <v>14.04</v>
      </c>
      <c r="F21" s="72">
        <f aca="true" t="shared" si="5" ref="F21:F26">(D21*E21)</f>
        <v>55.51416</v>
      </c>
      <c r="G21" s="10"/>
    </row>
    <row r="22" spans="1:7" ht="12.75">
      <c r="A22" s="11" t="s">
        <v>157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VLOOKUP(A22,'IN-12-11'!A23:D897,4)</f>
        <v>33.27</v>
      </c>
      <c r="F22" s="72">
        <f t="shared" si="5"/>
        <v>4.72434</v>
      </c>
      <c r="G22" s="10"/>
    </row>
    <row r="23" spans="1:7" ht="12.75">
      <c r="A23" s="11" t="s">
        <v>163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VLOOKUP(A23,'IN-12-11'!A24:D898,4)</f>
        <v>686.29</v>
      </c>
      <c r="F23" s="72">
        <f t="shared" si="5"/>
        <v>3.2941919999999993</v>
      </c>
      <c r="G23" s="10"/>
    </row>
    <row r="24" spans="1:7" ht="12.75">
      <c r="A24" s="11" t="s">
        <v>1678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VLOOKUP(A24,'IN-12-11'!A25:D899,4)</f>
        <v>0.92</v>
      </c>
      <c r="F24" s="72">
        <f t="shared" si="5"/>
        <v>1.00188</v>
      </c>
      <c r="G24" s="10"/>
    </row>
    <row r="25" spans="1:7" ht="12.75">
      <c r="A25" s="11" t="s">
        <v>1950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VLOOKUP(A25,'IN-12-11'!A26:D900,4)</f>
        <v>111.6167</v>
      </c>
      <c r="F25" s="72">
        <f t="shared" si="5"/>
        <v>0.7813169</v>
      </c>
      <c r="G25" s="10"/>
    </row>
    <row r="26" spans="1:7" ht="12.75">
      <c r="A26" s="11" t="s">
        <v>1677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VLOOKUP(A26,'IN-12-11'!A7:D901,4)</f>
        <v>5.6933</v>
      </c>
      <c r="F26" s="72">
        <f t="shared" si="5"/>
        <v>0.3074382</v>
      </c>
      <c r="G26" s="10"/>
    </row>
    <row r="27" spans="1:7" ht="12.75">
      <c r="A27" s="83" t="s">
        <v>351</v>
      </c>
      <c r="B27" s="9"/>
      <c r="C27" s="10"/>
      <c r="D27" s="56"/>
      <c r="E27" s="51"/>
      <c r="F27" s="72"/>
      <c r="G27" s="10"/>
    </row>
    <row r="28" spans="1:8" ht="12.75">
      <c r="A28" s="11" t="s">
        <v>1707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VLOOKUP(A28,'IN-12-11'!A29:D903,4)</f>
        <v>45.8</v>
      </c>
      <c r="F28" s="72">
        <f>(D28*E28)</f>
        <v>40.8994</v>
      </c>
      <c r="G28" s="10"/>
      <c r="H28" s="1" t="s">
        <v>1160</v>
      </c>
    </row>
    <row r="29" spans="1:7" ht="12.75">
      <c r="A29" s="83" t="s">
        <v>352</v>
      </c>
      <c r="B29" s="4"/>
      <c r="C29" s="10"/>
      <c r="D29" s="56"/>
      <c r="E29" s="51"/>
      <c r="F29" s="72"/>
      <c r="G29" s="10"/>
    </row>
    <row r="30" spans="1:7" ht="12.75">
      <c r="A30" s="11" t="s">
        <v>1995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VLOOKUP(A30,'IN-12-11'!A31:D905,4)</f>
        <v>253.63</v>
      </c>
      <c r="F30" s="72">
        <f>(D30*E30)</f>
        <v>24.85574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346</v>
      </c>
      <c r="B32" s="391" t="s">
        <v>324</v>
      </c>
      <c r="C32" s="77" t="str">
        <f>Fecha</f>
        <v>NOV/12</v>
      </c>
      <c r="D32" s="48"/>
      <c r="E32" s="48"/>
      <c r="F32" s="392">
        <f>SUM(F34:F44)</f>
        <v>57742.522000000004</v>
      </c>
      <c r="G32" s="41"/>
    </row>
    <row r="33" spans="1:7" ht="13.5" thickBot="1">
      <c r="A33" s="7" t="s">
        <v>345</v>
      </c>
      <c r="B33" s="7" t="s">
        <v>1830</v>
      </c>
      <c r="C33" s="78" t="s">
        <v>344</v>
      </c>
      <c r="D33" s="49" t="s">
        <v>326</v>
      </c>
      <c r="E33" s="50"/>
      <c r="F33" s="68"/>
      <c r="G33" s="42" t="s">
        <v>347</v>
      </c>
    </row>
    <row r="34" spans="1:7" ht="13.5" thickTop="1">
      <c r="A34" s="83" t="s">
        <v>350</v>
      </c>
      <c r="B34" s="9"/>
      <c r="C34" s="10"/>
      <c r="D34" s="56"/>
      <c r="E34" s="56"/>
      <c r="F34" s="72"/>
      <c r="G34" s="10"/>
    </row>
    <row r="35" spans="1:7" ht="12.75">
      <c r="A35" s="11" t="s">
        <v>1331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VLOOKUP(A35,'IN-12-11'!A36:D910,4)</f>
        <v>10079.72</v>
      </c>
      <c r="F35" s="72">
        <f aca="true" t="shared" si="8" ref="F35:F40">(D35*E35)</f>
        <v>10079.72</v>
      </c>
      <c r="G35" s="10"/>
    </row>
    <row r="36" spans="1:7" ht="12.75">
      <c r="A36" s="11" t="s">
        <v>211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VLOOKUP(A36,'IN-12-11'!A37:D911,4)</f>
        <v>10403.33</v>
      </c>
      <c r="F36" s="72">
        <f t="shared" si="8"/>
        <v>10403.33</v>
      </c>
      <c r="G36" s="10"/>
    </row>
    <row r="37" spans="1:7" ht="12.75">
      <c r="A37" s="11" t="s">
        <v>213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VLOOKUP(A37,'IN-12-11'!A38:D912,4)</f>
        <v>4010.94</v>
      </c>
      <c r="F37" s="72">
        <f t="shared" si="8"/>
        <v>4010.94</v>
      </c>
      <c r="G37" s="10"/>
    </row>
    <row r="38" spans="1:7" ht="12.75">
      <c r="A38" s="11" t="s">
        <v>215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VLOOKUP(A38,'IN-12-11'!A39:D913,4)</f>
        <v>1418.31</v>
      </c>
      <c r="F38" s="72">
        <f t="shared" si="8"/>
        <v>1418.31</v>
      </c>
      <c r="G38" s="10"/>
    </row>
    <row r="39" spans="1:7" ht="12.75">
      <c r="A39" s="11" t="s">
        <v>217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VLOOKUP(A39,'IN-12-11'!A40:D914,4)</f>
        <v>110.5</v>
      </c>
      <c r="F39" s="72">
        <f t="shared" si="8"/>
        <v>13260</v>
      </c>
      <c r="G39" s="10"/>
    </row>
    <row r="40" spans="1:7" ht="12.75">
      <c r="A40" s="11" t="s">
        <v>219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VLOOKUP(A40,'IN-12-11'!A41:D915,4)</f>
        <v>253.71</v>
      </c>
      <c r="F40" s="72">
        <f t="shared" si="8"/>
        <v>12989.952000000001</v>
      </c>
      <c r="G40" s="10"/>
    </row>
    <row r="41" spans="1:7" ht="12.75">
      <c r="A41" s="83" t="s">
        <v>351</v>
      </c>
      <c r="B41" s="9"/>
      <c r="C41" s="10"/>
      <c r="D41" s="56"/>
      <c r="E41" s="51"/>
      <c r="F41" s="72"/>
      <c r="G41" s="10"/>
    </row>
    <row r="42" spans="1:7" ht="12.75">
      <c r="A42" s="11" t="s">
        <v>1707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VLOOKUP(A42,'IN-12-11'!A43:D917,4)</f>
        <v>45.8</v>
      </c>
      <c r="F42" s="72">
        <f>(D42*E42)</f>
        <v>3297.6</v>
      </c>
      <c r="G42" s="10"/>
    </row>
    <row r="43" spans="1:7" ht="12.75">
      <c r="A43" s="83" t="s">
        <v>352</v>
      </c>
      <c r="B43" s="4"/>
      <c r="C43" s="10"/>
      <c r="D43" s="56"/>
      <c r="E43" s="51"/>
      <c r="F43" s="72"/>
      <c r="G43" s="10"/>
    </row>
    <row r="44" spans="1:7" ht="12.75">
      <c r="A44" s="11" t="s">
        <v>1995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VLOOKUP(A44,'IN-12-11'!A45:D919,4)</f>
        <v>253.63</v>
      </c>
      <c r="F44" s="72">
        <f>(D44*E44)</f>
        <v>2282.67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E30" sqref="E3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391" t="s">
        <v>1841</v>
      </c>
      <c r="C2" s="79" t="str">
        <f>Fecha</f>
        <v>NOV/12</v>
      </c>
      <c r="D2" s="53"/>
      <c r="E2" s="53"/>
      <c r="F2" s="392">
        <f>SUM(F4:F15)</f>
        <v>250.9710981</v>
      </c>
      <c r="G2" s="43"/>
    </row>
    <row r="3" spans="1:7" ht="13.5" thickBot="1">
      <c r="A3" s="14" t="s">
        <v>345</v>
      </c>
      <c r="B3" s="14" t="s">
        <v>1840</v>
      </c>
      <c r="C3" s="80" t="s">
        <v>344</v>
      </c>
      <c r="D3" s="54" t="s">
        <v>1936</v>
      </c>
      <c r="E3" s="55"/>
      <c r="F3" s="71"/>
      <c r="G3" s="42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1385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3">
        <f>VLOOKUP(A5,'IN-12-11'!$A$5:$D$441,4)</f>
        <v>60.28</v>
      </c>
      <c r="F5" s="72">
        <f aca="true" t="shared" si="2" ref="F5:F11">(D5*E5)</f>
        <v>94.0368</v>
      </c>
      <c r="G5" s="10"/>
    </row>
    <row r="6" spans="1:7" ht="12.75">
      <c r="A6" s="11" t="s">
        <v>1711</v>
      </c>
      <c r="B6" s="4" t="str">
        <f>VLOOKUP(A6,'IN-12-11'!$A$5:$D$441,2)</f>
        <v>caño PVC 3.2 p/desague cloacal 0.110 x 4 m.</v>
      </c>
      <c r="C6" s="4" t="str">
        <f>VLOOKUP(A6,'IN-12-11'!$A$5:$D$441,3)</f>
        <v>m</v>
      </c>
      <c r="D6" s="56">
        <v>0.7</v>
      </c>
      <c r="E6" s="93">
        <f>VLOOKUP(A6,'IN-12-11'!$A$5:$D$441,4)</f>
        <v>35.9669</v>
      </c>
      <c r="F6" s="72">
        <f t="shared" si="2"/>
        <v>25.17683</v>
      </c>
      <c r="G6" s="10"/>
    </row>
    <row r="7" spans="1:7" ht="12.75">
      <c r="A7" s="11" t="s">
        <v>80</v>
      </c>
      <c r="B7" s="4" t="str">
        <f>VLOOKUP(A7,'IN-12-11'!$A$5:$D$441,2)</f>
        <v>ramal Y PVC Cloacal d=160x110mm</v>
      </c>
      <c r="C7" s="4" t="str">
        <f>VLOOKUP(A7,'IN-12-11'!$A$5:$D$441,3)</f>
        <v>u</v>
      </c>
      <c r="D7" s="56">
        <v>0.166</v>
      </c>
      <c r="E7" s="93">
        <f>VLOOKUP(A7,'IN-12-11'!$A$5:$D$441,4)</f>
        <v>106.115</v>
      </c>
      <c r="F7" s="72">
        <f t="shared" si="2"/>
        <v>17.61509</v>
      </c>
      <c r="G7" s="10"/>
    </row>
    <row r="8" spans="1:7" ht="12.75">
      <c r="A8" s="11" t="s">
        <v>151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842.05</v>
      </c>
      <c r="F8" s="72">
        <f t="shared" si="2"/>
        <v>8.4205</v>
      </c>
      <c r="G8" s="10"/>
    </row>
    <row r="9" spans="1:7" ht="12.75">
      <c r="A9" s="11" t="s">
        <v>1678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3">
        <f>VLOOKUP(A9,'IN-12-11'!$A$5:$D$441,4)</f>
        <v>0.92</v>
      </c>
      <c r="F9" s="72">
        <f t="shared" si="2"/>
        <v>7.795160000000001</v>
      </c>
      <c r="G9" s="10"/>
    </row>
    <row r="10" spans="1:7" ht="12.75">
      <c r="A10" s="11" t="s">
        <v>1690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3">
        <f>VLOOKUP(A10,'IN-12-11'!$A$5:$D$441,4)</f>
        <v>97.34</v>
      </c>
      <c r="F10" s="72">
        <f t="shared" si="2"/>
        <v>3.1148800000000003</v>
      </c>
      <c r="G10" s="10"/>
    </row>
    <row r="11" spans="1:7" ht="12.75">
      <c r="A11" s="11" t="s">
        <v>1677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3">
        <f>VLOOKUP(A11,'IN-12-11'!$A$5:$D$441,4)</f>
        <v>5.6933</v>
      </c>
      <c r="F11" s="72">
        <f t="shared" si="2"/>
        <v>3.7404981</v>
      </c>
      <c r="G11" s="10"/>
    </row>
    <row r="12" spans="1:7" ht="12.75">
      <c r="A12" s="83" t="s">
        <v>351</v>
      </c>
      <c r="B12" s="9"/>
      <c r="C12" s="10"/>
      <c r="D12" s="56"/>
      <c r="E12" s="93"/>
      <c r="F12" s="72"/>
      <c r="G12" s="10"/>
    </row>
    <row r="13" spans="1:7" ht="12.75">
      <c r="A13" s="11" t="s">
        <v>1707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3">
        <f>VLOOKUP(A13,'IN-12-11'!$A$5:$D$441,4)</f>
        <v>45.8</v>
      </c>
      <c r="F13" s="72">
        <f>(D13*E13)</f>
        <v>61.142999999999994</v>
      </c>
      <c r="G13" s="10"/>
    </row>
    <row r="14" spans="1:7" ht="12.75">
      <c r="A14" s="83" t="s">
        <v>352</v>
      </c>
      <c r="B14" s="9"/>
      <c r="C14" s="10"/>
      <c r="D14" s="56"/>
      <c r="E14" s="93"/>
      <c r="F14" s="72"/>
      <c r="G14" s="10"/>
    </row>
    <row r="15" spans="1:7" ht="12.75">
      <c r="A15" s="11" t="s">
        <v>1995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3">
        <f>VLOOKUP(A15,'IN-12-11'!$A$5:$D$441,4)</f>
        <v>253.63</v>
      </c>
      <c r="F15" s="72">
        <f>(D15*E15)</f>
        <v>29.92834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346</v>
      </c>
      <c r="B17" s="391" t="s">
        <v>194</v>
      </c>
      <c r="C17" s="79" t="str">
        <f>Fecha</f>
        <v>NOV/12</v>
      </c>
      <c r="D17" s="53"/>
      <c r="E17" s="53"/>
      <c r="F17" s="392">
        <f>SUM(F19:F28)</f>
        <v>202.2251781</v>
      </c>
      <c r="G17" s="43"/>
    </row>
    <row r="18" spans="1:7" ht="13.5" thickBot="1">
      <c r="A18" s="14" t="s">
        <v>345</v>
      </c>
      <c r="B18" s="14" t="s">
        <v>1840</v>
      </c>
      <c r="C18" s="80" t="s">
        <v>344</v>
      </c>
      <c r="D18" s="54" t="s">
        <v>242</v>
      </c>
      <c r="E18" s="55"/>
      <c r="F18" s="71"/>
      <c r="G18" s="42" t="s">
        <v>1849</v>
      </c>
    </row>
    <row r="19" spans="1:7" ht="13.5" thickTop="1">
      <c r="A19" s="83" t="s">
        <v>350</v>
      </c>
      <c r="B19" s="9"/>
      <c r="C19" s="10"/>
      <c r="D19" s="56"/>
      <c r="E19" s="56"/>
      <c r="F19" s="72"/>
      <c r="G19" s="10"/>
    </row>
    <row r="20" spans="1:7" ht="12.75">
      <c r="A20" s="11" t="s">
        <v>1385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3">
        <f>VLOOKUP(A20,'IN-12-11'!$A$5:$D$441,4)</f>
        <v>60.28</v>
      </c>
      <c r="F20" s="72">
        <f>(D20*E20)</f>
        <v>94.0368</v>
      </c>
      <c r="G20" s="10"/>
    </row>
    <row r="21" spans="1:7" ht="12.75">
      <c r="A21" s="11" t="s">
        <v>151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3">
        <f>VLOOKUP(A21,'IN-12-11'!$A$5:$D$441,4)</f>
        <v>842.05</v>
      </c>
      <c r="F21" s="72">
        <f>(D21*E21)</f>
        <v>8.4205</v>
      </c>
      <c r="G21" s="10"/>
    </row>
    <row r="22" spans="1:7" ht="12.75">
      <c r="A22" s="11" t="s">
        <v>1678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3">
        <f>VLOOKUP(A22,'IN-12-11'!$A$5:$D$441,4)</f>
        <v>0.92</v>
      </c>
      <c r="F22" s="72">
        <f>(D22*E22)</f>
        <v>7.795160000000001</v>
      </c>
      <c r="G22" s="10"/>
    </row>
    <row r="23" spans="1:7" ht="12.75">
      <c r="A23" s="11" t="s">
        <v>1690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3">
        <f>VLOOKUP(A23,'IN-12-11'!$A$5:$D$441,4)</f>
        <v>97.34</v>
      </c>
      <c r="F23" s="72">
        <f>(D23*E23)</f>
        <v>3.1148800000000003</v>
      </c>
      <c r="G23" s="10"/>
    </row>
    <row r="24" spans="1:7" ht="12.75">
      <c r="A24" s="11" t="s">
        <v>1677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3">
        <f>VLOOKUP(A24,'IN-12-11'!$A$5:$D$441,4)</f>
        <v>5.6933</v>
      </c>
      <c r="F24" s="72">
        <f>(D24*E24)</f>
        <v>3.7404981</v>
      </c>
      <c r="G24" s="10"/>
    </row>
    <row r="25" spans="1:7" ht="12.75">
      <c r="A25" s="83" t="s">
        <v>351</v>
      </c>
      <c r="B25" s="9"/>
      <c r="C25" s="10"/>
      <c r="D25" s="56"/>
      <c r="E25" s="93"/>
      <c r="F25" s="72"/>
      <c r="G25" s="10"/>
    </row>
    <row r="26" spans="1:7" ht="12.75">
      <c r="A26" s="11" t="s">
        <v>1707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3">
        <f>VLOOKUP(A26,'IN-12-11'!$A$5:$D$441,4)</f>
        <v>45.8</v>
      </c>
      <c r="F26" s="72">
        <f>(D26*E26)</f>
        <v>55.189</v>
      </c>
      <c r="G26" s="10"/>
    </row>
    <row r="27" spans="1:7" ht="12.75">
      <c r="A27" s="83" t="s">
        <v>352</v>
      </c>
      <c r="B27" s="9"/>
      <c r="C27" s="10"/>
      <c r="D27" s="56"/>
      <c r="E27" s="93"/>
      <c r="F27" s="72"/>
      <c r="G27" s="10"/>
    </row>
    <row r="28" spans="1:7" ht="12.75">
      <c r="A28" s="11" t="s">
        <v>1995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3">
        <f>VLOOKUP(A28,'IN-12-11'!$A$5:$D$441,4)</f>
        <v>253.63</v>
      </c>
      <c r="F28" s="72">
        <f>(D28*E28)</f>
        <v>29.92834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346</v>
      </c>
      <c r="B2" s="391" t="s">
        <v>1844</v>
      </c>
      <c r="C2" s="79" t="str">
        <f>Fecha</f>
        <v>NOV/12</v>
      </c>
      <c r="D2" s="53"/>
      <c r="E2" s="53"/>
      <c r="F2" s="392">
        <f>SUM(F4:F11)</f>
        <v>107.65299</v>
      </c>
      <c r="G2" s="43"/>
    </row>
    <row r="3" spans="1:7" ht="13.5" thickBot="1">
      <c r="A3" s="14" t="s">
        <v>345</v>
      </c>
      <c r="B3" s="14" t="s">
        <v>1842</v>
      </c>
      <c r="C3" s="80" t="s">
        <v>344</v>
      </c>
      <c r="D3" s="54" t="s">
        <v>1954</v>
      </c>
      <c r="E3" s="55"/>
      <c r="F3" s="71"/>
      <c r="G3" s="42" t="s">
        <v>1849</v>
      </c>
    </row>
    <row r="4" spans="1:7" ht="13.5" thickTop="1">
      <c r="A4" s="83" t="s">
        <v>350</v>
      </c>
      <c r="B4" s="9"/>
      <c r="C4" s="19"/>
      <c r="D4" s="64"/>
      <c r="E4" s="56"/>
      <c r="F4" s="72"/>
      <c r="G4" s="10"/>
    </row>
    <row r="5" spans="1:7" ht="12.75">
      <c r="A5" s="11" t="s">
        <v>152</v>
      </c>
      <c r="B5" s="4" t="str">
        <f>VLOOKUP(A5,Insumos,2)</f>
        <v>tubo Pead Gas 50mm 4bar </v>
      </c>
      <c r="C5" s="4" t="str">
        <f>VLOOKUP(A5,'IN-12-11'!$A$5:$D$441,3)</f>
        <v>m</v>
      </c>
      <c r="D5" s="56">
        <v>1.8</v>
      </c>
      <c r="E5" s="93">
        <f>VLOOKUP(A5,'IN-12-11'!$A$5:$D$441,4)</f>
        <v>15.45</v>
      </c>
      <c r="F5" s="72">
        <f>(D5*E5)</f>
        <v>27.81</v>
      </c>
      <c r="G5" s="10"/>
    </row>
    <row r="6" spans="1:7" ht="12.75">
      <c r="A6" s="11" t="s">
        <v>195</v>
      </c>
      <c r="B6" s="4" t="str">
        <f>VLOOKUP(A6,Insumos,2)</f>
        <v>cupla E/F Gas PE80 50mm</v>
      </c>
      <c r="C6" s="4" t="str">
        <f>VLOOKUP(A6,'IN-12-11'!$A$5:$D$441,3)</f>
        <v>u</v>
      </c>
      <c r="D6" s="56">
        <v>0.16</v>
      </c>
      <c r="E6" s="93">
        <f>VLOOKUP(A6,'IN-12-11'!$A$5:$D$441,4)</f>
        <v>30.78</v>
      </c>
      <c r="F6" s="72">
        <f>(D6*E6)</f>
        <v>4.9248</v>
      </c>
      <c r="G6" s="10"/>
    </row>
    <row r="7" spans="1:7" ht="12.75">
      <c r="A7" s="11" t="s">
        <v>161</v>
      </c>
      <c r="B7" s="4" t="str">
        <f>VLOOKUP(A7,Insumos,2)</f>
        <v>toma Servicio Gas E/F 63x25mm</v>
      </c>
      <c r="C7" s="4" t="str">
        <f>VLOOKUP(A7,'IN-12-11'!$A$5:$D$441,3)</f>
        <v>u</v>
      </c>
      <c r="D7" s="56">
        <v>0.113</v>
      </c>
      <c r="E7" s="93">
        <f>VLOOKUP(A7,'IN-12-11'!$A$5:$D$441,4)</f>
        <v>67.53</v>
      </c>
      <c r="F7" s="72">
        <f>(D7*E7)</f>
        <v>7.63089</v>
      </c>
      <c r="G7" s="10"/>
    </row>
    <row r="8" spans="1:7" ht="12.75">
      <c r="A8" s="83" t="s">
        <v>351</v>
      </c>
      <c r="B8" s="9"/>
      <c r="C8" s="10"/>
      <c r="D8" s="56"/>
      <c r="E8" s="93"/>
      <c r="F8" s="72"/>
      <c r="G8" s="10"/>
    </row>
    <row r="9" spans="1:7" ht="12.75">
      <c r="A9" s="11" t="s">
        <v>1707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3">
        <f>VLOOKUP(A9,'IN-12-11'!$A$5:$D$441,4)</f>
        <v>45.8</v>
      </c>
      <c r="F9" s="72">
        <f>(D9*E9)</f>
        <v>39.388</v>
      </c>
      <c r="G9" s="10"/>
    </row>
    <row r="10" spans="1:7" ht="12.75">
      <c r="A10" s="83" t="s">
        <v>352</v>
      </c>
      <c r="B10" s="9"/>
      <c r="C10" s="10"/>
      <c r="D10" s="56"/>
      <c r="E10" s="93"/>
      <c r="F10" s="72"/>
      <c r="G10" s="10"/>
    </row>
    <row r="11" spans="1:7" ht="12.75">
      <c r="A11" s="11" t="s">
        <v>1995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3">
        <f>VLOOKUP(A11,'IN-12-11'!$A$5:$D$441,4)</f>
        <v>253.63</v>
      </c>
      <c r="F11" s="72">
        <f>(D11*E11)</f>
        <v>27.8993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33">
      <selection activeCell="E68" sqref="E6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346</v>
      </c>
      <c r="B2" s="397" t="s">
        <v>1847</v>
      </c>
      <c r="C2" s="81" t="str">
        <f>Fecha</f>
        <v>NOV/12</v>
      </c>
      <c r="D2" s="57"/>
      <c r="E2" s="57"/>
      <c r="F2" s="398">
        <f>SUM(F5:F18)</f>
        <v>117058.32804499999</v>
      </c>
      <c r="G2" s="45"/>
    </row>
    <row r="3" spans="1:7" ht="13.5" thickBot="1">
      <c r="A3" s="34" t="s">
        <v>345</v>
      </c>
      <c r="B3" s="35" t="s">
        <v>279</v>
      </c>
      <c r="C3" s="35" t="s">
        <v>344</v>
      </c>
      <c r="D3" s="58" t="s">
        <v>280</v>
      </c>
      <c r="E3" s="59"/>
      <c r="F3" s="73"/>
      <c r="G3" s="46" t="s">
        <v>178</v>
      </c>
    </row>
    <row r="4" spans="1:7" ht="13.5" thickTop="1">
      <c r="A4" s="83" t="s">
        <v>350</v>
      </c>
      <c r="B4" s="4"/>
      <c r="C4" s="6"/>
      <c r="D4" s="56"/>
      <c r="E4" s="51"/>
      <c r="F4" s="72"/>
      <c r="G4" s="10"/>
    </row>
    <row r="5" spans="1:7" ht="12.75">
      <c r="A5" s="11" t="s">
        <v>298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VLOOKUP(A5,'IN-12-11'!A6:D880,4)</f>
        <v>3015</v>
      </c>
      <c r="F5" s="72">
        <f aca="true" t="shared" si="2" ref="F5:F10">(D5*E5)</f>
        <v>6030</v>
      </c>
      <c r="G5" s="10"/>
    </row>
    <row r="6" spans="1:7" ht="12.75">
      <c r="A6" s="11" t="s">
        <v>1386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VLOOKUP(A6,'IN-12-11'!A7:D881,4)</f>
        <v>354.72</v>
      </c>
      <c r="F6" s="72">
        <f t="shared" si="2"/>
        <v>1380.2155200000002</v>
      </c>
      <c r="G6" s="10"/>
    </row>
    <row r="7" spans="1:7" ht="12.75">
      <c r="A7" s="11" t="s">
        <v>1387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VLOOKUP(A7,'IN-12-11'!A8:D882,4)</f>
        <v>51.415</v>
      </c>
      <c r="F7" s="72">
        <f t="shared" si="2"/>
        <v>5630.45665</v>
      </c>
      <c r="G7" s="10"/>
    </row>
    <row r="8" spans="1:7" ht="12.75">
      <c r="A8" s="11" t="s">
        <v>302</v>
      </c>
      <c r="B8" s="4" t="str">
        <f>VLOOKUP(A8,'IN-12-11'!$A$5:$D$441,2)</f>
        <v>Transformador de potencia 13,2 KV, 315/0,4/0,231 KVA</v>
      </c>
      <c r="C8" s="4" t="str">
        <f>VLOOKUP(A8,'IN-12-11'!$A$5:$D$441,3)</f>
        <v>u</v>
      </c>
      <c r="D8" s="60">
        <v>1</v>
      </c>
      <c r="E8" s="61">
        <f>VLOOKUP(A8,'IN-12-11'!A9:D883,4)</f>
        <v>49744.025</v>
      </c>
      <c r="F8" s="72">
        <f t="shared" si="2"/>
        <v>49744.025</v>
      </c>
      <c r="G8" s="10"/>
    </row>
    <row r="9" spans="1:7" ht="12.75" hidden="1">
      <c r="A9" s="11" t="s">
        <v>1396</v>
      </c>
      <c r="B9" s="4" t="str">
        <f>VLOOKUP(A9,'IN-12-11'!$A$5:$D$441,2)</f>
        <v>Caja de distribución polyester conj. Secc. APR c/fusibles SETA</v>
      </c>
      <c r="C9" s="4" t="str">
        <f>VLOOKUP(A9,'IN-12-11'!$A$5:$D$441,3)</f>
        <v>u</v>
      </c>
      <c r="D9" s="60">
        <v>6.242</v>
      </c>
      <c r="E9" s="61">
        <f>VLOOKUP(A9,'IN-12-11'!A10:D884,4)</f>
        <v>83.78</v>
      </c>
      <c r="F9" s="72">
        <f t="shared" si="2"/>
        <v>522.95476</v>
      </c>
      <c r="G9" s="10"/>
    </row>
    <row r="10" spans="1:7" ht="12.75">
      <c r="A10" s="11" t="s">
        <v>304</v>
      </c>
      <c r="B10" s="4" t="str">
        <f>VLOOKUP(A10,'IN-12-11'!$A$5:$D$441,2)</f>
        <v>Morseto de retensión - grampa peine</v>
      </c>
      <c r="C10" s="4" t="str">
        <f>VLOOKUP(A10,'IN-12-11'!$A$5:$D$441,3)</f>
        <v>gl</v>
      </c>
      <c r="D10" s="60">
        <v>47.35</v>
      </c>
      <c r="E10" s="61">
        <f>VLOOKUP(A10,'IN-12-11'!A11:D885,4)</f>
        <v>8.805</v>
      </c>
      <c r="F10" s="72">
        <f t="shared" si="2"/>
        <v>416.91675</v>
      </c>
      <c r="G10" s="10"/>
    </row>
    <row r="11" spans="1:7" ht="12.75">
      <c r="A11" s="11" t="s">
        <v>1950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VLOOKUP(A11,'IN-12-11'!A12:D886,4)</f>
        <v>111.6167</v>
      </c>
      <c r="F11" s="72">
        <f>E11*D11</f>
        <v>781.3168999999999</v>
      </c>
      <c r="G11" s="10"/>
    </row>
    <row r="12" spans="1:7" ht="12.75">
      <c r="A12" s="11" t="s">
        <v>1679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VLOOKUP(A12,'IN-12-11'!A13:D887,4)</f>
        <v>90.4</v>
      </c>
      <c r="F12" s="72">
        <f>E12*D12</f>
        <v>994.4000000000001</v>
      </c>
      <c r="G12" s="10"/>
    </row>
    <row r="13" spans="1:7" ht="12.75">
      <c r="A13" s="11" t="s">
        <v>1678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VLOOKUP(A13,'IN-12-11'!A14:D888,4)</f>
        <v>0.92</v>
      </c>
      <c r="F13" s="72">
        <f>E13*D13</f>
        <v>2484</v>
      </c>
      <c r="G13" s="10"/>
    </row>
    <row r="14" spans="1:7" ht="12.75">
      <c r="A14" s="11" t="s">
        <v>300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VLOOKUP(A14,'IN-12-11'!A15:D889,4)</f>
        <v>15222</v>
      </c>
      <c r="F14" s="72">
        <f>(D14*E14)</f>
        <v>31935.755999999998</v>
      </c>
      <c r="G14" s="10"/>
    </row>
    <row r="15" spans="1:7" ht="12.75">
      <c r="A15" s="83" t="s">
        <v>351</v>
      </c>
      <c r="B15" s="9"/>
      <c r="C15" s="10"/>
      <c r="D15" s="56"/>
      <c r="E15" s="61"/>
      <c r="F15" s="72"/>
      <c r="G15" s="10"/>
    </row>
    <row r="16" spans="1:7" ht="12.75">
      <c r="A16" s="11" t="s">
        <v>1707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VLOOKUP(A16,'IN-12-11'!A17:D891,4)</f>
        <v>45.8</v>
      </c>
      <c r="F16" s="72">
        <f>(D16*E16)</f>
        <v>13827.019999999999</v>
      </c>
      <c r="G16" s="10"/>
    </row>
    <row r="17" spans="1:7" ht="12.75">
      <c r="A17" s="83" t="s">
        <v>352</v>
      </c>
      <c r="B17" s="9"/>
      <c r="C17" s="10"/>
      <c r="D17" s="56"/>
      <c r="E17" s="61"/>
      <c r="F17" s="72"/>
      <c r="G17" s="10"/>
    </row>
    <row r="18" spans="1:7" ht="12.75">
      <c r="A18" s="11" t="s">
        <v>1995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VLOOKUP(A18,'IN-12-11'!A19:D893,4)</f>
        <v>253.63</v>
      </c>
      <c r="F18" s="72">
        <f>(D18*E18)</f>
        <v>3311.266465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346</v>
      </c>
      <c r="B20" s="397" t="s">
        <v>1848</v>
      </c>
      <c r="C20" s="81" t="str">
        <f>Fecha</f>
        <v>NOV/12</v>
      </c>
      <c r="D20" s="57"/>
      <c r="E20" s="57"/>
      <c r="F20" s="398">
        <f>SUM(F23:F35)</f>
        <v>28479.970590999998</v>
      </c>
      <c r="G20" s="45"/>
    </row>
    <row r="21" spans="1:7" ht="13.5" thickBot="1">
      <c r="A21" s="34" t="s">
        <v>345</v>
      </c>
      <c r="B21" s="34" t="s">
        <v>285</v>
      </c>
      <c r="C21" s="35" t="s">
        <v>344</v>
      </c>
      <c r="D21" s="62" t="s">
        <v>286</v>
      </c>
      <c r="E21" s="59"/>
      <c r="F21" s="73"/>
      <c r="G21" s="47" t="s">
        <v>347</v>
      </c>
    </row>
    <row r="22" spans="1:7" ht="13.5" thickTop="1">
      <c r="A22" s="83" t="s">
        <v>350</v>
      </c>
      <c r="B22" s="9"/>
      <c r="C22" s="10"/>
      <c r="D22" s="56"/>
      <c r="E22" s="56"/>
      <c r="F22" s="72"/>
      <c r="G22" s="10"/>
    </row>
    <row r="23" spans="1:7" ht="12.75">
      <c r="A23" s="11" t="s">
        <v>1950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VLOOKUP(A23,'IN-12-11'!A24:D898,4)</f>
        <v>111.6167</v>
      </c>
      <c r="F23" s="72">
        <f aca="true" t="shared" si="3" ref="F23:F31">(D23*E23)</f>
        <v>103.803531</v>
      </c>
      <c r="G23" s="10"/>
    </row>
    <row r="24" spans="1:7" ht="12.75">
      <c r="A24" s="11" t="s">
        <v>1679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VLOOKUP(A24,'IN-12-11'!A25:D899,4)</f>
        <v>90.4</v>
      </c>
      <c r="F24" s="72">
        <f t="shared" si="3"/>
        <v>96.72800000000001</v>
      </c>
      <c r="G24" s="10"/>
    </row>
    <row r="25" spans="1:7" ht="12.75">
      <c r="A25" s="11" t="s">
        <v>1678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VLOOKUP(A25,'IN-12-11'!A26:D900,4)</f>
        <v>0.92</v>
      </c>
      <c r="F25" s="72">
        <f t="shared" si="3"/>
        <v>148.12</v>
      </c>
      <c r="G25" s="10"/>
    </row>
    <row r="26" spans="1:7" ht="12.75">
      <c r="A26" s="11" t="s">
        <v>299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VLOOKUP(A26,'IN-12-11'!A27:D901,4)</f>
        <v>2920</v>
      </c>
      <c r="F26" s="72">
        <f t="shared" si="3"/>
        <v>2920</v>
      </c>
      <c r="G26" s="10"/>
    </row>
    <row r="27" spans="1:7" ht="12.75">
      <c r="A27" s="11" t="s">
        <v>300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VLOOKUP(A27,'IN-12-11'!A28:D902,4)</f>
        <v>15222</v>
      </c>
      <c r="F27" s="72">
        <f t="shared" si="3"/>
        <v>15222</v>
      </c>
      <c r="G27" s="10"/>
    </row>
    <row r="28" spans="1:7" ht="12.75">
      <c r="A28" s="11" t="s">
        <v>1393</v>
      </c>
      <c r="B28" s="4" t="str">
        <f>VLOOKUP(A28,'IN-12-11'!$A$5:$D$441,2)</f>
        <v>Aislador Orgánico 13,2/33kv</v>
      </c>
      <c r="C28" s="4" t="str">
        <f>VLOOKUP(A28,'IN-12-11'!$A$5:$D$441,3)</f>
        <v>u</v>
      </c>
      <c r="D28" s="63">
        <v>3</v>
      </c>
      <c r="E28" s="61">
        <f>VLOOKUP(A28,'IN-12-11'!A29:D903,4)</f>
        <v>100.55</v>
      </c>
      <c r="F28" s="72">
        <f t="shared" si="3"/>
        <v>301.65</v>
      </c>
      <c r="G28" s="10"/>
    </row>
    <row r="29" spans="1:7" ht="12.75">
      <c r="A29" s="11" t="s">
        <v>1399</v>
      </c>
      <c r="B29" s="4" t="str">
        <f>VLOOKUP(A29,'IN-12-11'!$A$5:$D$441,2)</f>
        <v>Juego de retensión completo</v>
      </c>
      <c r="C29" s="4" t="str">
        <f>VLOOKUP(A29,'IN-12-11'!$A$5:$D$441,3)</f>
        <v>u</v>
      </c>
      <c r="D29" s="63">
        <v>9.37</v>
      </c>
      <c r="E29" s="61">
        <f>VLOOKUP(A29,'IN-12-11'!A30:D904,4)</f>
        <v>561.98</v>
      </c>
      <c r="F29" s="72">
        <f t="shared" si="3"/>
        <v>5265.7526</v>
      </c>
      <c r="G29" s="10"/>
    </row>
    <row r="30" spans="1:7" ht="12.75">
      <c r="A30" s="11" t="s">
        <v>1389</v>
      </c>
      <c r="B30" s="4" t="str">
        <f>VLOOKUP(A30,'IN-12-11'!$A$5:$D$441,2)</f>
        <v>Cable de Al desnudo de 50 mm² de Secc.</v>
      </c>
      <c r="C30" s="4" t="str">
        <f>VLOOKUP(A30,'IN-12-11'!$A$5:$D$441,3)</f>
        <v>m</v>
      </c>
      <c r="D30" s="56">
        <v>1.05</v>
      </c>
      <c r="E30" s="61">
        <f>VLOOKUP(A30,'IN-12-11'!A31:D905,4)</f>
        <v>7.415</v>
      </c>
      <c r="F30" s="72">
        <f t="shared" si="3"/>
        <v>7.78575</v>
      </c>
      <c r="G30" s="10"/>
    </row>
    <row r="31" spans="1:7" ht="12.75">
      <c r="A31" s="11" t="s">
        <v>1394</v>
      </c>
      <c r="B31" s="4" t="str">
        <f>VLOOKUP(A31,'IN-12-11'!$A$5:$D$441,2)</f>
        <v>Seccionador fusible XS</v>
      </c>
      <c r="C31" s="4" t="str">
        <f>VLOOKUP(A31,'IN-12-11'!$A$5:$D$441,3)</f>
        <v>u</v>
      </c>
      <c r="D31" s="56">
        <v>1.37</v>
      </c>
      <c r="E31" s="61">
        <f>VLOOKUP(A31,'IN-12-11'!A32:D906,4)</f>
        <v>542.8</v>
      </c>
      <c r="F31" s="72">
        <f t="shared" si="3"/>
        <v>743.636</v>
      </c>
      <c r="G31" s="10"/>
    </row>
    <row r="32" spans="1:7" ht="12.75">
      <c r="A32" s="83" t="s">
        <v>351</v>
      </c>
      <c r="B32" s="9"/>
      <c r="C32" s="6"/>
      <c r="D32" s="56"/>
      <c r="E32" s="61"/>
      <c r="F32" s="72"/>
      <c r="G32" s="10"/>
    </row>
    <row r="33" spans="1:7" ht="12.75">
      <c r="A33" s="11" t="s">
        <v>1707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VLOOKUP(A33,'IN-12-11'!A34:D908,4)</f>
        <v>45.8</v>
      </c>
      <c r="F33" s="72">
        <f>(D33*E33)</f>
        <v>2352.3795999999998</v>
      </c>
      <c r="G33" s="10"/>
    </row>
    <row r="34" spans="1:7" ht="12.75">
      <c r="A34" s="83" t="s">
        <v>352</v>
      </c>
      <c r="B34" s="9"/>
      <c r="C34" s="6"/>
      <c r="D34" s="56"/>
      <c r="E34" s="61"/>
      <c r="F34" s="72"/>
      <c r="G34" s="10"/>
    </row>
    <row r="35" spans="1:7" ht="12.75">
      <c r="A35" s="11" t="s">
        <v>1995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VLOOKUP(A35,'IN-12-11'!A36:D910,4)</f>
        <v>253.63</v>
      </c>
      <c r="F35" s="72">
        <f>(D35*E35)</f>
        <v>1318.11511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346</v>
      </c>
      <c r="B37" s="397" t="s">
        <v>1850</v>
      </c>
      <c r="C37" s="81" t="str">
        <f>Fecha</f>
        <v>NOV/12</v>
      </c>
      <c r="D37" s="57"/>
      <c r="E37" s="57"/>
      <c r="F37" s="398">
        <f>SUM(F40:F55)</f>
        <v>19469.125083</v>
      </c>
      <c r="G37" s="45"/>
    </row>
    <row r="38" spans="1:7" ht="13.5" thickBot="1">
      <c r="A38" s="34" t="s">
        <v>345</v>
      </c>
      <c r="B38" s="34" t="s">
        <v>289</v>
      </c>
      <c r="C38" s="35" t="s">
        <v>344</v>
      </c>
      <c r="D38" s="62" t="s">
        <v>305</v>
      </c>
      <c r="E38" s="59"/>
      <c r="F38" s="73"/>
      <c r="G38" s="47" t="s">
        <v>347</v>
      </c>
    </row>
    <row r="39" spans="1:7" ht="13.5" thickTop="1">
      <c r="A39" s="83" t="s">
        <v>350</v>
      </c>
      <c r="B39" s="9"/>
      <c r="C39" s="10"/>
      <c r="D39" s="56"/>
      <c r="E39" s="56"/>
      <c r="F39" s="72"/>
      <c r="G39" s="10"/>
    </row>
    <row r="40" spans="1:7" ht="12.75">
      <c r="A40" s="11" t="s">
        <v>1950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VLOOKUP(A40,'IN-12-11'!A41:D915,4)</f>
        <v>111.6167</v>
      </c>
      <c r="F40" s="72">
        <f aca="true" t="shared" si="4" ref="F40:F51">(D40*E40)</f>
        <v>177.470553</v>
      </c>
      <c r="G40" s="10"/>
    </row>
    <row r="41" spans="1:7" ht="12.75">
      <c r="A41" s="11" t="s">
        <v>1679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VLOOKUP(A41,'IN-12-11'!A42:D916,4)</f>
        <v>90.4</v>
      </c>
      <c r="F41" s="72">
        <f t="shared" si="4"/>
        <v>216.96</v>
      </c>
      <c r="G41" s="10"/>
    </row>
    <row r="42" spans="1:7" ht="12.75">
      <c r="A42" s="11" t="s">
        <v>1678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VLOOKUP(A42,'IN-12-11'!A43:D917,4)</f>
        <v>0.92</v>
      </c>
      <c r="F42" s="72">
        <f t="shared" si="4"/>
        <v>252.08</v>
      </c>
      <c r="G42" s="10"/>
    </row>
    <row r="43" spans="1:7" ht="12.75">
      <c r="A43" s="11" t="s">
        <v>301</v>
      </c>
      <c r="B43" s="4" t="str">
        <f>VLOOKUP(A43,'IN-12-11'!$A$5:$D$441,2)</f>
        <v>Columna de HºAºVº de 9,5/900/3</v>
      </c>
      <c r="C43" s="4" t="str">
        <f>VLOOKUP(A43,'IN-12-11'!$A$5:$D$441,3)</f>
        <v>u</v>
      </c>
      <c r="D43" s="63">
        <v>1</v>
      </c>
      <c r="E43" s="61">
        <f>VLOOKUP(A43,'IN-12-11'!A44:D918,4)</f>
        <v>13238</v>
      </c>
      <c r="F43" s="72">
        <f t="shared" si="4"/>
        <v>13238</v>
      </c>
      <c r="G43" s="10"/>
    </row>
    <row r="44" spans="1:7" ht="12.75">
      <c r="A44" s="11" t="s">
        <v>1399</v>
      </c>
      <c r="B44" s="4" t="str">
        <f>VLOOKUP(A44,'IN-12-11'!$A$5:$D$441,2)</f>
        <v>Juego de retensión completo</v>
      </c>
      <c r="C44" s="4" t="str">
        <f>VLOOKUP(A44,'IN-12-11'!$A$5:$D$441,3)</f>
        <v>u</v>
      </c>
      <c r="D44" s="63">
        <v>1.44</v>
      </c>
      <c r="E44" s="61">
        <f>VLOOKUP(A44,'IN-12-11'!A45:D919,4)</f>
        <v>561.98</v>
      </c>
      <c r="F44" s="72">
        <f t="shared" si="4"/>
        <v>809.2512</v>
      </c>
      <c r="G44" s="10"/>
    </row>
    <row r="45" spans="1:7" ht="12.75">
      <c r="A45" s="11" t="s">
        <v>1409</v>
      </c>
      <c r="B45" s="4" t="str">
        <f>VLOOKUP(A45,'IN-12-11'!$A$5:$D$441,2)</f>
        <v>Poste de eucaliptus creosotado 11 m</v>
      </c>
      <c r="C45" s="4" t="str">
        <f>VLOOKUP(A45,'IN-12-11'!$A$5:$D$441,3)</f>
        <v>u</v>
      </c>
      <c r="D45" s="63">
        <v>1</v>
      </c>
      <c r="E45" s="61">
        <f>VLOOKUP(A45,'IN-12-11'!A46:D920,4)</f>
        <v>305</v>
      </c>
      <c r="F45" s="72">
        <f t="shared" si="4"/>
        <v>305</v>
      </c>
      <c r="G45" s="10"/>
    </row>
    <row r="46" spans="1:7" ht="12.75">
      <c r="A46" s="11" t="s">
        <v>1400</v>
      </c>
      <c r="B46" s="4" t="str">
        <f>VLOOKUP(A46,'IN-12-11'!$A$5:$D$441,2)</f>
        <v>Juego de suspensión completo</v>
      </c>
      <c r="C46" s="4" t="str">
        <f>VLOOKUP(A46,'IN-12-11'!$A$5:$D$441,3)</f>
        <v>u</v>
      </c>
      <c r="D46" s="63">
        <v>1</v>
      </c>
      <c r="E46" s="61">
        <f>VLOOKUP(A46,'IN-12-11'!A47:D921,4)</f>
        <v>619.83</v>
      </c>
      <c r="F46" s="72">
        <f t="shared" si="4"/>
        <v>619.83</v>
      </c>
      <c r="G46" s="10"/>
    </row>
    <row r="47" spans="1:7" ht="12.75">
      <c r="A47" s="11" t="s">
        <v>1390</v>
      </c>
      <c r="B47" s="4" t="str">
        <f>VLOOKUP(A47,'IN-12-11'!$A$5:$D$441,2)</f>
        <v>Conductor Cu preensamblado 3x95 + 1x50 m</v>
      </c>
      <c r="C47" s="4" t="str">
        <f>VLOOKUP(A47,'IN-12-11'!$A$5:$D$441,3)</f>
        <v>m</v>
      </c>
      <c r="D47" s="63">
        <v>1</v>
      </c>
      <c r="E47" s="61">
        <f>VLOOKUP(A47,'IN-12-11'!A48:D922,4)</f>
        <v>46.3</v>
      </c>
      <c r="F47" s="72">
        <f t="shared" si="4"/>
        <v>46.3</v>
      </c>
      <c r="G47" s="10"/>
    </row>
    <row r="48" spans="1:7" ht="12.75">
      <c r="A48" s="11" t="s">
        <v>1395</v>
      </c>
      <c r="B48" s="4" t="str">
        <f>VLOOKUP(A48,'IN-12-11'!$A$5:$D$441,2)</f>
        <v>Jabalina tipo Cooperweld 1,50x3/4"</v>
      </c>
      <c r="C48" s="4" t="str">
        <f>VLOOKUP(A48,'IN-12-11'!$A$5:$D$441,3)</f>
        <v>u</v>
      </c>
      <c r="D48" s="63">
        <v>1.5</v>
      </c>
      <c r="E48" s="61">
        <f>VLOOKUP(A48,'IN-12-11'!A49:D923,4)</f>
        <v>83.78</v>
      </c>
      <c r="F48" s="72">
        <f t="shared" si="4"/>
        <v>125.67</v>
      </c>
      <c r="G48" s="10"/>
    </row>
    <row r="49" spans="1:7" ht="12.75">
      <c r="A49" s="11" t="s">
        <v>1388</v>
      </c>
      <c r="B49" s="4" t="str">
        <f>VLOOKUP(A49,'IN-12-11'!$A$5:$D$441,2)</f>
        <v>Conductor desnudo de cobre de 16 mm²</v>
      </c>
      <c r="C49" s="4" t="str">
        <f>VLOOKUP(A49,'IN-12-11'!$A$5:$D$441,3)</f>
        <v>m</v>
      </c>
      <c r="D49" s="63">
        <v>22.091</v>
      </c>
      <c r="E49" s="61">
        <f>VLOOKUP(A49,'IN-12-11'!A50:D924,4)</f>
        <v>14.66</v>
      </c>
      <c r="F49" s="72">
        <f t="shared" si="4"/>
        <v>323.85406</v>
      </c>
      <c r="G49" s="10"/>
    </row>
    <row r="50" spans="1:7" ht="12.75">
      <c r="A50" s="11" t="s">
        <v>1397</v>
      </c>
      <c r="B50" s="4" t="str">
        <f>VLOOKUP(A50,'IN-12-11'!$A$5:$D$441,2)</f>
        <v>Cajas de derivación trifásica RBT</v>
      </c>
      <c r="C50" s="4" t="str">
        <f>VLOOKUP(A50,'IN-12-11'!$A$5:$D$441,3)</f>
        <v>u</v>
      </c>
      <c r="D50" s="63">
        <v>1</v>
      </c>
      <c r="E50" s="61">
        <f>VLOOKUP(A50,'IN-12-11'!A51:D925,4)</f>
        <v>1260.33</v>
      </c>
      <c r="F50" s="72">
        <f t="shared" si="4"/>
        <v>1260.33</v>
      </c>
      <c r="G50" s="10"/>
    </row>
    <row r="51" spans="1:7" ht="12.75">
      <c r="A51" s="11" t="s">
        <v>1392</v>
      </c>
      <c r="B51" s="4" t="str">
        <f>VLOOKUP(A51,'IN-12-11'!$A$5:$D$441,2)</f>
        <v>Conductor prerreunido 4 x 10 mm²</v>
      </c>
      <c r="C51" s="4" t="str">
        <f>VLOOKUP(A51,'IN-12-11'!$A$5:$D$441,3)</f>
        <v>u</v>
      </c>
      <c r="D51" s="63">
        <v>1.05</v>
      </c>
      <c r="E51" s="61">
        <f>VLOOKUP(A51,'IN-12-11'!A52:D926,4)</f>
        <v>43.115</v>
      </c>
      <c r="F51" s="72">
        <f t="shared" si="4"/>
        <v>45.27075000000001</v>
      </c>
      <c r="G51" s="10"/>
    </row>
    <row r="52" spans="1:7" ht="12.75">
      <c r="A52" s="83" t="s">
        <v>351</v>
      </c>
      <c r="B52" s="9"/>
      <c r="C52" s="6"/>
      <c r="D52" s="56"/>
      <c r="E52" s="61"/>
      <c r="F52" s="72"/>
      <c r="G52" s="10"/>
    </row>
    <row r="53" spans="1:7" ht="12.75">
      <c r="A53" s="11" t="s">
        <v>1707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VLOOKUP(A53,'IN-12-11'!A54:D928,4)</f>
        <v>45.8</v>
      </c>
      <c r="F53" s="72">
        <f>(D53*E53)</f>
        <v>1388.656</v>
      </c>
      <c r="G53" s="10"/>
    </row>
    <row r="54" spans="1:7" ht="12.75">
      <c r="A54" s="83" t="s">
        <v>352</v>
      </c>
      <c r="B54" s="9"/>
      <c r="C54" s="6"/>
      <c r="D54" s="56"/>
      <c r="E54" s="61"/>
      <c r="F54" s="72"/>
      <c r="G54" s="10"/>
    </row>
    <row r="55" spans="1:7" ht="12.75">
      <c r="A55" s="11" t="s">
        <v>1995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VLOOKUP(A55,'IN-12-11'!A56:D930,4)</f>
        <v>253.63</v>
      </c>
      <c r="F55" s="72">
        <f>(D55*E55)</f>
        <v>660.45252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346</v>
      </c>
      <c r="B57" s="397" t="s">
        <v>295</v>
      </c>
      <c r="C57" s="81" t="str">
        <f>Fecha</f>
        <v>NOV/12</v>
      </c>
      <c r="D57" s="57"/>
      <c r="E57" s="57"/>
      <c r="F57" s="398">
        <f>SUM(F60:F66)</f>
        <v>28027.037424999995</v>
      </c>
      <c r="G57" s="45"/>
    </row>
    <row r="58" spans="1:7" ht="13.5" thickBot="1">
      <c r="A58" s="34" t="s">
        <v>345</v>
      </c>
      <c r="B58" s="35" t="s">
        <v>296</v>
      </c>
      <c r="C58" s="35" t="s">
        <v>344</v>
      </c>
      <c r="D58" s="58" t="s">
        <v>306</v>
      </c>
      <c r="E58" s="59"/>
      <c r="F58" s="73"/>
      <c r="G58" s="47" t="s">
        <v>347</v>
      </c>
    </row>
    <row r="59" spans="1:7" ht="13.5" thickTop="1">
      <c r="A59" s="83" t="s">
        <v>350</v>
      </c>
      <c r="B59" s="9"/>
      <c r="C59" s="10"/>
      <c r="D59" s="56"/>
      <c r="E59" s="56"/>
      <c r="F59" s="72"/>
      <c r="G59" s="10"/>
    </row>
    <row r="60" spans="1:7" ht="12.75">
      <c r="A60" s="11" t="s">
        <v>303</v>
      </c>
      <c r="B60" s="4" t="str">
        <f>VLOOKUP(A60,'IN-12-11'!$A$5:$D$441,2)</f>
        <v>Artefacto Strand MB 70 con SAP 250 W</v>
      </c>
      <c r="C60" s="4" t="str">
        <f>VLOOKUP(A60,'IN-12-11'!$A$5:$D$441,3)</f>
        <v>u</v>
      </c>
      <c r="D60" s="56">
        <v>1.409</v>
      </c>
      <c r="E60" s="61">
        <f>VLOOKUP(A60,'IN-12-11'!A61:D935,4)</f>
        <v>1308.9</v>
      </c>
      <c r="F60" s="72">
        <f>(D60*E60)</f>
        <v>1844.2401000000002</v>
      </c>
      <c r="G60" s="10"/>
    </row>
    <row r="61" spans="1:7" ht="12.75">
      <c r="A61" s="11" t="s">
        <v>1398</v>
      </c>
      <c r="B61" s="4" t="str">
        <f>VLOOKUP(A61,'IN-12-11'!$A$5:$D$441,2)</f>
        <v>Gabinete estanco PVC 600x600x300 c/cerrad. AºPº</v>
      </c>
      <c r="C61" s="4" t="str">
        <f>VLOOKUP(A61,'IN-12-11'!$A$5:$D$441,3)</f>
        <v>u</v>
      </c>
      <c r="D61" s="63">
        <v>2.217</v>
      </c>
      <c r="E61" s="61">
        <f>VLOOKUP(A61,'IN-12-11'!A62:D936,4)</f>
        <v>1086.985</v>
      </c>
      <c r="F61" s="72">
        <f>(D61*E61)</f>
        <v>2409.845745</v>
      </c>
      <c r="G61" s="10"/>
    </row>
    <row r="62" spans="1:7" ht="12.75">
      <c r="A62" s="11" t="s">
        <v>1391</v>
      </c>
      <c r="B62" s="4" t="str">
        <f>VLOOKUP(A62,'IN-12-11'!$A$5:$D$441,2)</f>
        <v>Conductor CU forrado 1 x 35 mm²</v>
      </c>
      <c r="C62" s="4" t="str">
        <f>VLOOKUP(A62,'IN-12-11'!$A$5:$D$441,3)</f>
        <v>m</v>
      </c>
      <c r="D62" s="63">
        <v>551.81</v>
      </c>
      <c r="E62" s="61">
        <f>VLOOKUP(A62,'IN-12-11'!A63:D937,4)</f>
        <v>34.345</v>
      </c>
      <c r="F62" s="72">
        <f>(D62*E62)</f>
        <v>18951.914449999997</v>
      </c>
      <c r="G62" s="10"/>
    </row>
    <row r="63" spans="1:7" ht="12.75">
      <c r="A63" s="83" t="s">
        <v>351</v>
      </c>
      <c r="B63" s="32"/>
      <c r="C63" s="36"/>
      <c r="D63" s="63"/>
      <c r="E63" s="61"/>
      <c r="F63" s="72"/>
      <c r="G63" s="10"/>
    </row>
    <row r="64" spans="1:7" ht="12.75">
      <c r="A64" s="11" t="s">
        <v>1707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VLOOKUP(A64,'IN-12-11'!A65:D939,4)</f>
        <v>45.8</v>
      </c>
      <c r="F64" s="72">
        <f>(D64*E64)</f>
        <v>4442.8748</v>
      </c>
      <c r="G64" s="10"/>
    </row>
    <row r="65" spans="1:7" ht="12.75">
      <c r="A65" s="83" t="s">
        <v>352</v>
      </c>
      <c r="B65" s="4"/>
      <c r="C65" s="6"/>
      <c r="D65" s="56"/>
      <c r="E65" s="61"/>
      <c r="F65" s="72"/>
      <c r="G65" s="10"/>
    </row>
    <row r="66" spans="1:8" ht="12.75">
      <c r="A66" s="11" t="s">
        <v>1995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VLOOKUP(A66,'IN-12-11'!A67:D941,4)</f>
        <v>253.63</v>
      </c>
      <c r="F66" s="72">
        <f>(D66*E66)</f>
        <v>378.16233</v>
      </c>
      <c r="G66" s="10"/>
      <c r="H66" s="87">
        <f>(F66*100)/F$57</f>
        <v>1.3492768581479855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391" t="s">
        <v>201</v>
      </c>
      <c r="C2" s="79" t="str">
        <f>Fecha</f>
        <v>NOV/12</v>
      </c>
      <c r="D2" s="53"/>
      <c r="E2" s="53"/>
      <c r="F2" s="399">
        <f>SUM(F5:F13)</f>
        <v>116.83858</v>
      </c>
      <c r="G2" s="43"/>
    </row>
    <row r="3" spans="1:7" ht="13.5" thickBot="1">
      <c r="A3" s="14" t="s">
        <v>345</v>
      </c>
      <c r="B3" s="14" t="s">
        <v>1845</v>
      </c>
      <c r="C3" s="80" t="s">
        <v>344</v>
      </c>
      <c r="D3" s="54" t="s">
        <v>1846</v>
      </c>
      <c r="E3" s="55"/>
      <c r="F3" s="71"/>
      <c r="G3" s="44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1677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VLOOKUP(A5,'IN-12-11'!A6:D880,4)</f>
        <v>5.6933</v>
      </c>
      <c r="F5" s="72">
        <f>+D5*E5</f>
        <v>7.970619999999999</v>
      </c>
      <c r="G5" s="10"/>
    </row>
    <row r="6" spans="1:7" ht="12.75">
      <c r="A6" s="11" t="s">
        <v>1678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VLOOKUP(A6,'IN-12-11'!A7:D881,4)</f>
        <v>0.92</v>
      </c>
      <c r="F6" s="72">
        <f>+D6*E6</f>
        <v>33.81</v>
      </c>
      <c r="G6" s="10"/>
    </row>
    <row r="7" spans="1:7" ht="12.75">
      <c r="A7" s="11" t="s">
        <v>1679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VLOOKUP(A7,'IN-12-11'!A8:D882,4)</f>
        <v>90.4</v>
      </c>
      <c r="F7" s="72">
        <f>+D7*E7</f>
        <v>6.6896</v>
      </c>
      <c r="G7" s="10"/>
    </row>
    <row r="8" spans="1:7" ht="12.75">
      <c r="A8" s="11" t="s">
        <v>1680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VLOOKUP(A8,'IN-12-11'!A9:D883,4)</f>
        <v>101</v>
      </c>
      <c r="F8" s="72">
        <f>+D8*E8</f>
        <v>6.363</v>
      </c>
      <c r="G8" s="10"/>
    </row>
    <row r="9" spans="1:7" ht="12.75">
      <c r="A9" s="83" t="s">
        <v>351</v>
      </c>
      <c r="B9" s="9"/>
      <c r="C9" s="10"/>
      <c r="D9" s="56"/>
      <c r="E9" s="51"/>
      <c r="F9" s="72"/>
      <c r="G9" s="10"/>
    </row>
    <row r="10" spans="1:7" ht="12.75">
      <c r="A10" s="11" t="s">
        <v>1675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VLOOKUP(A10,'IN-12-11'!A11:D885,4)</f>
        <v>39.41</v>
      </c>
      <c r="F10" s="72">
        <f>+D10*E10</f>
        <v>43.351</v>
      </c>
      <c r="G10" s="10"/>
    </row>
    <row r="11" spans="1:7" ht="12.75">
      <c r="A11" s="83" t="s">
        <v>352</v>
      </c>
      <c r="B11" s="9"/>
      <c r="C11" s="10"/>
      <c r="D11" s="56"/>
      <c r="E11" s="51"/>
      <c r="F11" s="72"/>
      <c r="G11" s="10"/>
    </row>
    <row r="12" spans="1:7" ht="12.75">
      <c r="A12" s="11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VLOOKUP(A12,'IN-12-11'!A13:D887,4)</f>
        <v>309.97</v>
      </c>
      <c r="F12" s="72">
        <f>+D12*E12</f>
        <v>6.199400000000001</v>
      </c>
      <c r="G12" s="10"/>
    </row>
    <row r="13" spans="1:7" ht="12.75">
      <c r="A13" s="11" t="s">
        <v>1681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VLOOKUP(A13,'IN-12-11'!A14:D888,4)</f>
        <v>444.82</v>
      </c>
      <c r="F13" s="72">
        <f>+D13*E13</f>
        <v>12.45496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346</v>
      </c>
      <c r="B15" s="391" t="s">
        <v>203</v>
      </c>
      <c r="C15" s="79" t="str">
        <f>Fecha</f>
        <v>NOV/12</v>
      </c>
      <c r="D15" s="53"/>
      <c r="E15" s="53"/>
      <c r="F15" s="399">
        <f>SUM(F17:F28)</f>
        <v>152.40598364595138</v>
      </c>
      <c r="G15" s="43"/>
    </row>
    <row r="16" spans="1:7" ht="13.5" thickBot="1">
      <c r="A16" s="7" t="s">
        <v>345</v>
      </c>
      <c r="B16" s="14" t="s">
        <v>1845</v>
      </c>
      <c r="C16" s="78" t="s">
        <v>344</v>
      </c>
      <c r="D16" s="49" t="s">
        <v>1948</v>
      </c>
      <c r="E16" s="50"/>
      <c r="F16" s="68"/>
      <c r="G16" s="42" t="s">
        <v>1976</v>
      </c>
    </row>
    <row r="17" spans="1:6" ht="13.5" thickTop="1">
      <c r="A17" s="82" t="s">
        <v>350</v>
      </c>
      <c r="D17" s="51"/>
      <c r="E17" s="51"/>
      <c r="F17" s="69"/>
    </row>
    <row r="18" spans="1:8" ht="12.75">
      <c r="A18" s="3" t="s">
        <v>1949</v>
      </c>
      <c r="B18" s="4" t="str">
        <f>VLOOKUP(A18,'IN-12-11'!$A$5:$D$441,2)</f>
        <v>adoquines para pavimento</v>
      </c>
      <c r="C18" s="4" t="str">
        <f>VLOOKUP(A18,'IN-12-11'!$A$5:$D$441,3)</f>
        <v>m2</v>
      </c>
      <c r="D18" s="51">
        <v>1.1</v>
      </c>
      <c r="E18" s="51">
        <f>VLOOKUP(A18,'IN-12-11'!A19:D893,4)</f>
        <v>60.33</v>
      </c>
      <c r="F18" s="69">
        <f>(D18*E18)</f>
        <v>66.363</v>
      </c>
      <c r="H18" s="87"/>
    </row>
    <row r="19" spans="1:8" ht="12.75">
      <c r="A19" s="3" t="s">
        <v>1950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VLOOKUP(A19,'IN-12-11'!A20:D894,4)</f>
        <v>111.6167</v>
      </c>
      <c r="F19" s="69">
        <f>(D19*E19)</f>
        <v>5.022751499999999</v>
      </c>
      <c r="H19" s="87"/>
    </row>
    <row r="20" spans="1:9" ht="12.75">
      <c r="A20" s="3" t="s">
        <v>1951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VLOOKUP(A20,'IN-12-11'!A21:D895,4)</f>
        <v>81.22</v>
      </c>
      <c r="F20" s="69">
        <f>(D20*E20)</f>
        <v>2.8427000000000002</v>
      </c>
      <c r="H20" s="87"/>
      <c r="I20" s="87"/>
    </row>
    <row r="21" spans="1:6" ht="12.75">
      <c r="A21" s="82" t="s">
        <v>351</v>
      </c>
      <c r="D21" s="51"/>
      <c r="E21" s="51"/>
      <c r="F21" s="69"/>
    </row>
    <row r="22" spans="1:9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VLOOKUP(A22,'IN-12-11'!A23:D897,4)</f>
        <v>39.41</v>
      </c>
      <c r="F22" s="69">
        <f>(D22*E22)</f>
        <v>31.725049999999996</v>
      </c>
      <c r="H22" s="87"/>
      <c r="I22" s="87"/>
    </row>
    <row r="23" spans="1:6" ht="12.75">
      <c r="A23" s="82" t="s">
        <v>352</v>
      </c>
      <c r="D23" s="51"/>
      <c r="E23" s="51"/>
      <c r="F23" s="69"/>
    </row>
    <row r="24" spans="1:10" ht="12.75">
      <c r="A24" s="3" t="s">
        <v>1853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VLOOKUP(A24,'IN-12-11'!A25:D899,4)</f>
        <v>383.98</v>
      </c>
      <c r="F24" s="69">
        <f>(D24*E24)</f>
        <v>5.0357365956770455</v>
      </c>
      <c r="H24" s="87"/>
      <c r="J24" s="87"/>
    </row>
    <row r="25" spans="1:10" ht="12.75">
      <c r="A25" s="3" t="s">
        <v>1952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VLOOKUP(A25,'IN-12-11'!A26:D900,4)</f>
        <v>256.63</v>
      </c>
      <c r="F25" s="69">
        <f>(D25*E25)</f>
        <v>16.52880990579606</v>
      </c>
      <c r="H25" s="87"/>
      <c r="J25" s="87"/>
    </row>
    <row r="26" spans="1:10" ht="12.75">
      <c r="A26" s="3" t="s">
        <v>2054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VLOOKUP(A26,'IN-12-11'!A27:D901,4)</f>
        <v>309.97</v>
      </c>
      <c r="F26" s="69">
        <f>(D26*E26)</f>
        <v>19.87395176621717</v>
      </c>
      <c r="H26" s="87"/>
      <c r="J26" s="87"/>
    </row>
    <row r="27" spans="1:10" ht="12.75">
      <c r="A27" s="3" t="s">
        <v>2058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VLOOKUP(A27,'IN-12-11'!A28:D902,4)</f>
        <v>184.33</v>
      </c>
      <c r="F27" s="69">
        <f>(D27*E27)</f>
        <v>2.095089196807985</v>
      </c>
      <c r="H27" s="87"/>
      <c r="J27" s="87"/>
    </row>
    <row r="28" spans="1:10" ht="12.75">
      <c r="A28" s="3" t="s">
        <v>1854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VLOOKUP(A28,'IN-12-11'!A29:D903,4)</f>
        <v>256.81</v>
      </c>
      <c r="F28" s="69">
        <f>(D28*E28)</f>
        <v>2.918894681453147</v>
      </c>
      <c r="H28" s="87"/>
      <c r="I28" s="87"/>
      <c r="J28" s="87"/>
    </row>
    <row r="29" ht="13.5" thickBot="1"/>
    <row r="30" spans="1:7" ht="13.5" thickTop="1">
      <c r="A30" s="74" t="s">
        <v>346</v>
      </c>
      <c r="B30" s="391" t="s">
        <v>202</v>
      </c>
      <c r="C30" s="79" t="str">
        <f>Fecha</f>
        <v>NOV/12</v>
      </c>
      <c r="D30" s="53"/>
      <c r="E30" s="53"/>
      <c r="F30" s="399">
        <f>SUM(F33:F46)</f>
        <v>134.291808</v>
      </c>
      <c r="G30" s="43"/>
    </row>
    <row r="31" spans="1:7" ht="13.5" thickBot="1">
      <c r="A31" s="7" t="s">
        <v>345</v>
      </c>
      <c r="B31" s="7" t="s">
        <v>1845</v>
      </c>
      <c r="C31" s="78" t="s">
        <v>344</v>
      </c>
      <c r="D31" s="49" t="s">
        <v>200</v>
      </c>
      <c r="E31" s="50"/>
      <c r="F31" s="68"/>
      <c r="G31" s="42" t="s">
        <v>1976</v>
      </c>
    </row>
    <row r="32" spans="4:6" ht="13.5" thickTop="1">
      <c r="D32" s="51"/>
      <c r="E32" s="51"/>
      <c r="F32" s="69"/>
    </row>
    <row r="33" spans="1:6" ht="12.75">
      <c r="A33" s="82" t="s">
        <v>350</v>
      </c>
      <c r="D33" s="51"/>
      <c r="E33" s="51"/>
      <c r="F33" s="69"/>
    </row>
    <row r="34" spans="1:8" ht="12.75">
      <c r="A34" s="11" t="s">
        <v>1678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VLOOKUP(A34,'IN-12-11'!A35:D909,4)</f>
        <v>0.92</v>
      </c>
      <c r="F34" s="72">
        <f>(D34*E34)</f>
        <v>48.300000000000004</v>
      </c>
      <c r="G34" s="10"/>
      <c r="H34" s="87"/>
    </row>
    <row r="35" spans="1:8" ht="12.75">
      <c r="A35" s="11" t="s">
        <v>1679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VLOOKUP(A35,'IN-12-11'!A36:D910,4)</f>
        <v>90.4</v>
      </c>
      <c r="F35" s="72">
        <f>(D35*E35)</f>
        <v>9.492</v>
      </c>
      <c r="G35" s="10"/>
      <c r="H35" s="87"/>
    </row>
    <row r="36" spans="1:8" ht="12.75">
      <c r="A36" s="11" t="s">
        <v>1680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VLOOKUP(A36,'IN-12-11'!A37:D911,4)</f>
        <v>101</v>
      </c>
      <c r="F36" s="72">
        <f>(D36*E36)</f>
        <v>9.09</v>
      </c>
      <c r="G36" s="10"/>
      <c r="H36" s="87"/>
    </row>
    <row r="37" spans="1:8" ht="12.75">
      <c r="A37" s="11" t="s">
        <v>1677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VLOOKUP(A37,'IN-12-11'!A7:D912,4)</f>
        <v>5.6933</v>
      </c>
      <c r="F37" s="72">
        <f>(D37*E37)</f>
        <v>5.12397</v>
      </c>
      <c r="H37" s="87"/>
    </row>
    <row r="38" spans="1:9" ht="12.75">
      <c r="A38" s="2" t="s">
        <v>44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VLOOKUP(A38,'IN-12-11'!A35:D913,4)</f>
        <v>4.58</v>
      </c>
      <c r="F38" s="72">
        <f>(D38*E38)</f>
        <v>4.3968</v>
      </c>
      <c r="H38" s="87"/>
      <c r="I38" s="87"/>
    </row>
    <row r="39" spans="1:8" ht="12.75">
      <c r="A39" s="82" t="s">
        <v>351</v>
      </c>
      <c r="D39" s="51"/>
      <c r="E39" s="51"/>
      <c r="F39" s="69"/>
      <c r="H39" s="87"/>
    </row>
    <row r="40" spans="1:9" ht="12.75">
      <c r="A40" s="3" t="s">
        <v>1675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VLOOKUP(A40,'IN-12-11'!A41:D915,4)</f>
        <v>39.41</v>
      </c>
      <c r="F40" s="69">
        <f>(D40*E40)</f>
        <v>26.0106</v>
      </c>
      <c r="H40" s="87"/>
      <c r="I40" s="87"/>
    </row>
    <row r="41" spans="1:8" ht="12.75">
      <c r="A41" s="82" t="s">
        <v>352</v>
      </c>
      <c r="D41" s="51"/>
      <c r="E41" s="51"/>
      <c r="F41" s="69"/>
      <c r="H41" s="87"/>
    </row>
    <row r="42" spans="1:8" ht="12.75">
      <c r="A42" s="3" t="s">
        <v>1853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VLOOKUP(A42,'IN-12-11'!A43:D917,4)</f>
        <v>383.98</v>
      </c>
      <c r="F42" s="69">
        <f>(D42*E42)</f>
        <v>3.45582</v>
      </c>
      <c r="H42" s="87"/>
    </row>
    <row r="43" spans="1:8" ht="12.75">
      <c r="A43" s="3" t="s">
        <v>1952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VLOOKUP(A43,'IN-12-11'!A44:D918,4)</f>
        <v>256.63</v>
      </c>
      <c r="F43" s="69">
        <f>(D43*E43)</f>
        <v>11.343046000000001</v>
      </c>
      <c r="H43" s="87"/>
    </row>
    <row r="44" spans="1:8" ht="12.75">
      <c r="A44" s="3" t="s">
        <v>2054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VLOOKUP(A44,'IN-12-11'!A45:D919,4)</f>
        <v>309.97</v>
      </c>
      <c r="F44" s="69">
        <f>(D44*E44)</f>
        <v>13.63868</v>
      </c>
      <c r="H44" s="87"/>
    </row>
    <row r="45" spans="1:8" ht="12.75">
      <c r="A45" s="3" t="s">
        <v>2058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VLOOKUP(A45,'IN-12-11'!A46:D920,4)</f>
        <v>184.33</v>
      </c>
      <c r="F45" s="69">
        <f>(D45*E45)</f>
        <v>1.437774</v>
      </c>
      <c r="H45" s="87"/>
    </row>
    <row r="46" spans="1:9" ht="12.75">
      <c r="A46" s="3" t="s">
        <v>1854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VLOOKUP(A46,'IN-12-11'!A47:D921,4)</f>
        <v>256.81</v>
      </c>
      <c r="F46" s="69">
        <f>(D46*E46)</f>
        <v>2.003118</v>
      </c>
      <c r="H46" s="87"/>
      <c r="I46" s="87"/>
    </row>
    <row r="47" ht="13.5" thickBot="1">
      <c r="H47" s="87"/>
    </row>
    <row r="48" spans="1:7" ht="13.5" thickTop="1">
      <c r="A48" s="74" t="s">
        <v>346</v>
      </c>
      <c r="B48" s="391" t="s">
        <v>204</v>
      </c>
      <c r="C48" s="79" t="str">
        <f>Fecha</f>
        <v>NOV/12</v>
      </c>
      <c r="D48" s="53"/>
      <c r="E48" s="53"/>
      <c r="F48" s="399">
        <f>SUM(F51:F57)</f>
        <v>42.3188227</v>
      </c>
      <c r="G48" s="43"/>
    </row>
    <row r="49" spans="1:7" ht="13.5" thickBot="1">
      <c r="A49" s="7" t="s">
        <v>345</v>
      </c>
      <c r="B49" s="7" t="s">
        <v>1845</v>
      </c>
      <c r="C49" s="78" t="s">
        <v>344</v>
      </c>
      <c r="D49" s="49" t="s">
        <v>199</v>
      </c>
      <c r="E49" s="50"/>
      <c r="F49" s="68"/>
      <c r="G49" s="42" t="s">
        <v>1976</v>
      </c>
    </row>
    <row r="50" spans="4:6" ht="13.5" thickTop="1">
      <c r="D50" s="51"/>
      <c r="E50" s="51"/>
      <c r="F50" s="69"/>
    </row>
    <row r="51" spans="1:6" ht="12.75">
      <c r="A51" s="82" t="s">
        <v>350</v>
      </c>
      <c r="D51" s="51"/>
      <c r="E51" s="51"/>
      <c r="F51" s="69"/>
    </row>
    <row r="52" spans="1:6" ht="12.75">
      <c r="A52" s="3" t="s">
        <v>1690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VLOOKUP(A52,'IN-12-11'!A45:D927,4)</f>
        <v>97.34</v>
      </c>
      <c r="F52" s="69">
        <f>(D52*E52)</f>
        <v>12.654200000000001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VLOOKUP(A54,'IN-12-11'!A55:D929,4)</f>
        <v>39.41</v>
      </c>
      <c r="F54" s="69">
        <f>(D54*E54)</f>
        <v>20.759217499999995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1853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VLOOKUP(A56,'IN-12-11'!A57:D931,4)</f>
        <v>383.98</v>
      </c>
      <c r="F56" s="69">
        <f>(D56*E56)</f>
        <v>2.3960352</v>
      </c>
    </row>
    <row r="57" spans="1:6" ht="12.75">
      <c r="A57" s="3" t="s">
        <v>2054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VLOOKUP(A57,'IN-12-11'!A58:D932,4)</f>
        <v>309.97</v>
      </c>
      <c r="F57" s="69">
        <f>(D57*E57)</f>
        <v>6.5093700000000005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M13" sqref="M13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101" customWidth="1"/>
    <col min="17" max="17" width="9.796875" style="0" customWidth="1"/>
  </cols>
  <sheetData>
    <row r="1" spans="1:16" ht="15">
      <c r="A1" s="346" t="s">
        <v>1212</v>
      </c>
      <c r="B1" s="347"/>
      <c r="C1" s="346"/>
      <c r="D1" s="346"/>
      <c r="E1" s="348" t="str">
        <f>Fecha</f>
        <v>NOV/12</v>
      </c>
      <c r="F1" s="346"/>
      <c r="G1" s="346"/>
      <c r="H1" s="346"/>
      <c r="I1" s="346"/>
      <c r="J1" s="346"/>
      <c r="K1" s="346"/>
      <c r="L1" s="346"/>
      <c r="M1" s="349"/>
      <c r="N1" s="324"/>
      <c r="O1" s="324"/>
      <c r="P1" s="326" t="str">
        <f>+Fecha</f>
        <v>NOV/12</v>
      </c>
    </row>
    <row r="2" spans="1:13" ht="15" hidden="1">
      <c r="A2" s="4" t="s">
        <v>1217</v>
      </c>
      <c r="B2" s="4" t="str">
        <f>VLOOKUP(A2,Insumos,2)</f>
        <v>equipo acoplado p/camion 1218-42</v>
      </c>
      <c r="C2" s="107">
        <f>VLOOKUP(A2,Insumos,4)</f>
        <v>66500</v>
      </c>
      <c r="D2" s="4" t="s">
        <v>1218</v>
      </c>
      <c r="E2" s="4" t="str">
        <f>VLOOKUP(D2,Insumos,2)</f>
        <v>equipo acoplado p/camion 1620-45</v>
      </c>
      <c r="G2" s="107">
        <f>VLOOKUP(D2,Insumos,4)</f>
        <v>66500</v>
      </c>
      <c r="M2" s="100"/>
    </row>
    <row r="3" spans="1:13" ht="15" hidden="1">
      <c r="A3" s="4" t="s">
        <v>1203</v>
      </c>
      <c r="B3" s="4" t="str">
        <f>VLOOKUP(A3,Insumos,2)</f>
        <v>camión M. Benz 1218-42</v>
      </c>
      <c r="C3" s="107">
        <f>VLOOKUP(A3,Insumos,4)</f>
        <v>346124.435</v>
      </c>
      <c r="D3" s="4" t="s">
        <v>1210</v>
      </c>
      <c r="E3" s="4" t="str">
        <f>VLOOKUP(D3,Insumos,2)</f>
        <v>chofer</v>
      </c>
      <c r="G3" s="107">
        <f>VLOOKUP(D3,Insumos,4)</f>
        <v>50.45</v>
      </c>
      <c r="H3" s="92" t="s">
        <v>1205</v>
      </c>
      <c r="I3" s="4" t="str">
        <f>VLOOKUP(H3,Insumos,2)</f>
        <v>cubierta 900x20 c/tacos</v>
      </c>
      <c r="K3" s="108">
        <f>VLOOKUP(H3,Insumos,4)</f>
        <v>2481.5433</v>
      </c>
      <c r="M3" s="100"/>
    </row>
    <row r="4" spans="1:13" ht="15" hidden="1">
      <c r="A4" s="4" t="s">
        <v>1204</v>
      </c>
      <c r="B4" s="4" t="str">
        <f>VLOOKUP(A4,Insumos,2)</f>
        <v>camión M. Benz 1620-45</v>
      </c>
      <c r="C4" s="107">
        <f>VLOOKUP(A4,Insumos,4)</f>
        <v>391236.2</v>
      </c>
      <c r="D4" t="s">
        <v>1208</v>
      </c>
      <c r="E4" s="4" t="str">
        <f>VLOOKUP(D4,Insumos,2)</f>
        <v>seguro 1218-42($/año)</v>
      </c>
      <c r="G4" s="108">
        <f>VLOOKUP(D4,Insumos,4)</f>
        <v>6948.06</v>
      </c>
      <c r="H4" s="92" t="s">
        <v>1206</v>
      </c>
      <c r="I4" s="4" t="str">
        <f>VLOOKUP(H4,Insumos,2)</f>
        <v>cubierta 1000x20 c/tacos</v>
      </c>
      <c r="K4" s="108">
        <f>VLOOKUP(H4,Insumos,4)</f>
        <v>2915.9767</v>
      </c>
      <c r="M4" s="100"/>
    </row>
    <row r="5" spans="1:13" ht="15" hidden="1">
      <c r="A5" s="4" t="s">
        <v>2051</v>
      </c>
      <c r="B5" s="4" t="str">
        <f>VLOOKUP(A5,Insumos,2)</f>
        <v>gasoil</v>
      </c>
      <c r="C5" s="107">
        <f>VLOOKUP(A5,Insumos,4)</f>
        <v>4.98</v>
      </c>
      <c r="D5" t="s">
        <v>1209</v>
      </c>
      <c r="E5" s="4" t="str">
        <f>VLOOKUP(D5,Insumos,2)</f>
        <v>seguro 1620-45($/año)</v>
      </c>
      <c r="G5" s="108">
        <f>VLOOKUP(D5,Insumos,4)</f>
        <v>8935.5</v>
      </c>
      <c r="H5" s="92" t="s">
        <v>1207</v>
      </c>
      <c r="I5" s="4" t="str">
        <f>VLOOKUP(H5,Insumos,2)</f>
        <v>cubierta 1100x20 c/tacos</v>
      </c>
      <c r="K5" s="108">
        <f>VLOOKUP(H5,Insumos,4)</f>
        <v>3362.5367</v>
      </c>
      <c r="M5" s="100"/>
    </row>
    <row r="6" spans="2:13" ht="9.75" customHeight="1">
      <c r="B6" s="99"/>
      <c r="M6" s="100"/>
    </row>
    <row r="7" spans="1:17" ht="15" customHeight="1">
      <c r="A7" s="101" t="s">
        <v>1201</v>
      </c>
      <c r="B7" s="10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 t="s">
        <v>1202</v>
      </c>
      <c r="P7" s="101" t="s">
        <v>1201</v>
      </c>
      <c r="Q7" t="s">
        <v>1202</v>
      </c>
    </row>
    <row r="8" spans="1:17" ht="15">
      <c r="A8" s="104">
        <v>10</v>
      </c>
      <c r="B8" s="105">
        <f>+A8/25</f>
        <v>0.4</v>
      </c>
      <c r="C8" s="106">
        <v>2.5</v>
      </c>
      <c r="D8" s="105">
        <f>+B8+C8</f>
        <v>2.9</v>
      </c>
      <c r="E8" s="322">
        <f>+(C$3+C$2)*0.9*D8/10000</f>
        <v>107.694977535</v>
      </c>
      <c r="F8" s="322">
        <f>(C$3+G$2)*0.07*D8/4000</f>
        <v>20.94069007625</v>
      </c>
      <c r="G8" s="322">
        <f>+G$3*D8</f>
        <v>146.305</v>
      </c>
      <c r="H8" s="322">
        <f>+G$4/120/8*D8</f>
        <v>20.98893125</v>
      </c>
      <c r="I8" s="322">
        <f>+B8*E8/2/D8</f>
        <v>7.427239830000001</v>
      </c>
      <c r="J8" s="322">
        <f>+K$3*2*6/40000*A8</f>
        <v>7.444629899999999</v>
      </c>
      <c r="K8" s="322">
        <f>0.12*145*C$5*1.3*B8</f>
        <v>45.05904000000001</v>
      </c>
      <c r="L8" s="322">
        <f>+E8+F8+G8+H8+I8+J8+K8</f>
        <v>355.86050859125</v>
      </c>
      <c r="M8" s="323">
        <f>+L8/10/A8</f>
        <v>3.5586050859124994</v>
      </c>
      <c r="P8" s="104">
        <v>180</v>
      </c>
      <c r="Q8" s="323">
        <v>0.5476714426111111</v>
      </c>
    </row>
    <row r="9" spans="1:17" ht="15">
      <c r="A9" s="104">
        <v>15</v>
      </c>
      <c r="B9" s="105">
        <f aca="true" t="shared" si="0" ref="B9:B49">+A9/25</f>
        <v>0.6</v>
      </c>
      <c r="C9" s="106">
        <v>2.5</v>
      </c>
      <c r="D9" s="105">
        <f aca="true" t="shared" si="1" ref="D9:D49">+B9+C9</f>
        <v>3.1</v>
      </c>
      <c r="E9" s="322">
        <f aca="true" t="shared" si="2" ref="E9:E15">+(C$3+C$2)*0.9*D9/10000</f>
        <v>115.122217365</v>
      </c>
      <c r="F9" s="322">
        <f aca="true" t="shared" si="3" ref="F9:F15">(C$3+G$2)*0.07*D9/4000</f>
        <v>22.38487559875</v>
      </c>
      <c r="G9" s="322">
        <f>+G$3*D9</f>
        <v>156.395</v>
      </c>
      <c r="H9" s="322">
        <f aca="true" t="shared" si="4" ref="H9:H16">+G$4/120/8*D9</f>
        <v>22.436443750000002</v>
      </c>
      <c r="I9" s="322">
        <f aca="true" t="shared" si="5" ref="I9:I49">+B9*E9/2/D9</f>
        <v>11.140859745</v>
      </c>
      <c r="J9" s="322">
        <f aca="true" t="shared" si="6" ref="J9:J16">+K$3*2*6/40000*A9</f>
        <v>11.166944849999998</v>
      </c>
      <c r="K9" s="322">
        <f aca="true" t="shared" si="7" ref="K9:K16">0.12*145*C$5*1.3*B9</f>
        <v>67.58856</v>
      </c>
      <c r="L9" s="322">
        <f aca="true" t="shared" si="8" ref="L9:L49">+E9+F9+G9+H9+I9+J9+K9</f>
        <v>406.23490130874995</v>
      </c>
      <c r="M9" s="323">
        <f aca="true" t="shared" si="9" ref="M9:M16">+L9/10/A9</f>
        <v>2.7082326753916663</v>
      </c>
      <c r="P9" s="104">
        <v>190</v>
      </c>
      <c r="Q9" s="323">
        <v>0.5414998758201753</v>
      </c>
    </row>
    <row r="10" spans="1:17" ht="15">
      <c r="A10" s="104">
        <v>20</v>
      </c>
      <c r="B10" s="105">
        <f t="shared" si="0"/>
        <v>0.8</v>
      </c>
      <c r="C10" s="106">
        <v>2.5</v>
      </c>
      <c r="D10" s="105">
        <f t="shared" si="1"/>
        <v>3.3</v>
      </c>
      <c r="E10" s="322">
        <f t="shared" si="2"/>
        <v>122.549457195</v>
      </c>
      <c r="F10" s="322">
        <f t="shared" si="3"/>
        <v>23.82906112125</v>
      </c>
      <c r="G10" s="322">
        <f aca="true" t="shared" si="10" ref="G10:G49">+G$3*D10</f>
        <v>166.485</v>
      </c>
      <c r="H10" s="322">
        <f t="shared" si="4"/>
        <v>23.88395625</v>
      </c>
      <c r="I10" s="322">
        <f t="shared" si="5"/>
        <v>14.85447966</v>
      </c>
      <c r="J10" s="322">
        <f t="shared" si="6"/>
        <v>14.889259799999998</v>
      </c>
      <c r="K10" s="322">
        <f t="shared" si="7"/>
        <v>90.11808000000002</v>
      </c>
      <c r="L10" s="322">
        <f t="shared" si="8"/>
        <v>456.60929402625</v>
      </c>
      <c r="M10" s="323">
        <f t="shared" si="9"/>
        <v>2.28304647013125</v>
      </c>
      <c r="P10" s="104">
        <v>200</v>
      </c>
      <c r="Q10" s="323">
        <v>0.5359454657083333</v>
      </c>
    </row>
    <row r="11" spans="1:17" ht="15">
      <c r="A11" s="104">
        <v>25</v>
      </c>
      <c r="B11" s="105">
        <f t="shared" si="0"/>
        <v>1</v>
      </c>
      <c r="C11" s="106">
        <v>2.5</v>
      </c>
      <c r="D11" s="105">
        <f t="shared" si="1"/>
        <v>3.5</v>
      </c>
      <c r="E11" s="322">
        <f t="shared" si="2"/>
        <v>129.976697025</v>
      </c>
      <c r="F11" s="322">
        <f t="shared" si="3"/>
        <v>25.27324664375</v>
      </c>
      <c r="G11" s="322">
        <f t="shared" si="10"/>
        <v>176.57500000000002</v>
      </c>
      <c r="H11" s="322">
        <f t="shared" si="4"/>
        <v>25.33146875</v>
      </c>
      <c r="I11" s="322">
        <f t="shared" si="5"/>
        <v>18.568099574999998</v>
      </c>
      <c r="J11" s="322">
        <f t="shared" si="6"/>
        <v>18.61157475</v>
      </c>
      <c r="K11" s="322">
        <f t="shared" si="7"/>
        <v>112.64760000000001</v>
      </c>
      <c r="L11" s="322">
        <f t="shared" si="8"/>
        <v>506.98368674375007</v>
      </c>
      <c r="M11" s="323">
        <f t="shared" si="9"/>
        <v>2.027934746975</v>
      </c>
      <c r="P11" s="104">
        <v>210</v>
      </c>
      <c r="Q11" s="323">
        <v>0.5309200470357143</v>
      </c>
    </row>
    <row r="12" spans="1:17" ht="15">
      <c r="A12" s="104">
        <v>30</v>
      </c>
      <c r="B12" s="105">
        <f t="shared" si="0"/>
        <v>1.2</v>
      </c>
      <c r="C12" s="106">
        <v>2.5</v>
      </c>
      <c r="D12" s="105">
        <f t="shared" si="1"/>
        <v>3.7</v>
      </c>
      <c r="E12" s="322">
        <f t="shared" si="2"/>
        <v>137.403936855</v>
      </c>
      <c r="F12" s="322">
        <f t="shared" si="3"/>
        <v>26.717432166250003</v>
      </c>
      <c r="G12" s="322">
        <f t="shared" si="10"/>
        <v>186.66500000000002</v>
      </c>
      <c r="H12" s="322">
        <f t="shared" si="4"/>
        <v>26.77898125</v>
      </c>
      <c r="I12" s="322">
        <f t="shared" si="5"/>
        <v>22.28171949</v>
      </c>
      <c r="J12" s="322">
        <f t="shared" si="6"/>
        <v>22.333889699999997</v>
      </c>
      <c r="K12" s="322">
        <f t="shared" si="7"/>
        <v>135.17712</v>
      </c>
      <c r="L12" s="322">
        <f t="shared" si="8"/>
        <v>557.3580794612501</v>
      </c>
      <c r="M12" s="323">
        <f t="shared" si="9"/>
        <v>1.8578602648708336</v>
      </c>
      <c r="P12" s="104">
        <v>220</v>
      </c>
      <c r="Q12" s="323">
        <v>0.5263514846060605</v>
      </c>
    </row>
    <row r="13" spans="1:17" ht="15">
      <c r="A13" s="104">
        <v>35</v>
      </c>
      <c r="B13" s="105">
        <f t="shared" si="0"/>
        <v>1.4</v>
      </c>
      <c r="C13" s="106">
        <v>2.5</v>
      </c>
      <c r="D13" s="105">
        <f t="shared" si="1"/>
        <v>3.9</v>
      </c>
      <c r="E13" s="322">
        <f t="shared" si="2"/>
        <v>144.831176685</v>
      </c>
      <c r="F13" s="322">
        <f t="shared" si="3"/>
        <v>28.16161768875</v>
      </c>
      <c r="G13" s="322">
        <f t="shared" si="10"/>
        <v>196.755</v>
      </c>
      <c r="H13" s="322">
        <f t="shared" si="4"/>
        <v>28.22649375</v>
      </c>
      <c r="I13" s="322">
        <f t="shared" si="5"/>
        <v>25.995339405000003</v>
      </c>
      <c r="J13" s="322">
        <f t="shared" si="6"/>
        <v>26.056204649999998</v>
      </c>
      <c r="K13" s="322">
        <f t="shared" si="7"/>
        <v>157.70664</v>
      </c>
      <c r="L13" s="322">
        <f t="shared" si="8"/>
        <v>607.73247217875</v>
      </c>
      <c r="M13" s="323">
        <f t="shared" si="9"/>
        <v>1.7363784919392855</v>
      </c>
      <c r="P13" s="104">
        <v>230</v>
      </c>
      <c r="Q13" s="323">
        <v>0.5221801884746375</v>
      </c>
    </row>
    <row r="14" spans="1:17" ht="15">
      <c r="A14" s="104">
        <v>40</v>
      </c>
      <c r="B14" s="105">
        <f t="shared" si="0"/>
        <v>1.6</v>
      </c>
      <c r="C14" s="106">
        <v>2.5</v>
      </c>
      <c r="D14" s="105">
        <f t="shared" si="1"/>
        <v>4.1</v>
      </c>
      <c r="E14" s="322">
        <f t="shared" si="2"/>
        <v>152.25841651499996</v>
      </c>
      <c r="F14" s="322">
        <f t="shared" si="3"/>
        <v>29.60580321125</v>
      </c>
      <c r="G14" s="322">
        <f t="shared" si="10"/>
        <v>206.845</v>
      </c>
      <c r="H14" s="322">
        <f t="shared" si="4"/>
        <v>29.674006249999998</v>
      </c>
      <c r="I14" s="322">
        <f t="shared" si="5"/>
        <v>29.708959319999998</v>
      </c>
      <c r="J14" s="322">
        <f t="shared" si="6"/>
        <v>29.778519599999996</v>
      </c>
      <c r="K14" s="322">
        <f t="shared" si="7"/>
        <v>180.23616000000004</v>
      </c>
      <c r="L14" s="322">
        <f t="shared" si="8"/>
        <v>658.10686489625</v>
      </c>
      <c r="M14" s="323">
        <f t="shared" si="9"/>
        <v>1.645267162240625</v>
      </c>
      <c r="P14" s="104">
        <v>240</v>
      </c>
      <c r="Q14" s="323">
        <v>0.5183565003541666</v>
      </c>
    </row>
    <row r="15" spans="1:17" ht="15">
      <c r="A15" s="104">
        <v>45</v>
      </c>
      <c r="B15" s="105">
        <f t="shared" si="0"/>
        <v>1.8</v>
      </c>
      <c r="C15" s="106">
        <v>2.5</v>
      </c>
      <c r="D15" s="105">
        <f t="shared" si="1"/>
        <v>4.3</v>
      </c>
      <c r="E15" s="322">
        <f t="shared" si="2"/>
        <v>159.685656345</v>
      </c>
      <c r="F15" s="322">
        <f t="shared" si="3"/>
        <v>31.049988733750002</v>
      </c>
      <c r="G15" s="322">
        <f t="shared" si="10"/>
        <v>216.935</v>
      </c>
      <c r="H15" s="322">
        <f t="shared" si="4"/>
        <v>31.12151875</v>
      </c>
      <c r="I15" s="322">
        <f t="shared" si="5"/>
        <v>33.422579235</v>
      </c>
      <c r="J15" s="322">
        <f t="shared" si="6"/>
        <v>33.50083455</v>
      </c>
      <c r="K15" s="322">
        <f t="shared" si="7"/>
        <v>202.76568000000003</v>
      </c>
      <c r="L15" s="322">
        <f t="shared" si="8"/>
        <v>708.48125761375</v>
      </c>
      <c r="M15" s="323">
        <f t="shared" si="9"/>
        <v>1.5744027946972223</v>
      </c>
      <c r="P15" s="104">
        <v>250</v>
      </c>
      <c r="Q15" s="323">
        <v>0.5148387072833333</v>
      </c>
    </row>
    <row r="16" spans="1:17" ht="15">
      <c r="A16" s="104">
        <v>50</v>
      </c>
      <c r="B16" s="105">
        <f t="shared" si="0"/>
        <v>2</v>
      </c>
      <c r="C16" s="106">
        <v>2.5</v>
      </c>
      <c r="D16" s="105">
        <f t="shared" si="1"/>
        <v>4.5</v>
      </c>
      <c r="E16" s="322">
        <f>+(C$3+C$2)*0.9*D16/10000</f>
        <v>167.112896175</v>
      </c>
      <c r="F16" s="322">
        <f>(C$3+G$2)*0.07*D16/4000</f>
        <v>32.494174256250005</v>
      </c>
      <c r="G16" s="322">
        <f t="shared" si="10"/>
        <v>227.025</v>
      </c>
      <c r="H16" s="322">
        <f t="shared" si="4"/>
        <v>32.56903125</v>
      </c>
      <c r="I16" s="322">
        <f t="shared" si="5"/>
        <v>37.13619915</v>
      </c>
      <c r="J16" s="322">
        <f t="shared" si="6"/>
        <v>37.2231495</v>
      </c>
      <c r="K16" s="322">
        <f t="shared" si="7"/>
        <v>225.29520000000002</v>
      </c>
      <c r="L16" s="322">
        <f t="shared" si="8"/>
        <v>758.85565033125</v>
      </c>
      <c r="M16" s="323">
        <f t="shared" si="9"/>
        <v>1.5177113006625</v>
      </c>
      <c r="P16" s="104">
        <v>260</v>
      </c>
      <c r="Q16" s="323">
        <v>0.5115915136794872</v>
      </c>
    </row>
    <row r="17" spans="1:17" ht="15">
      <c r="A17" s="104">
        <v>60</v>
      </c>
      <c r="B17" s="105">
        <f t="shared" si="0"/>
        <v>2.4</v>
      </c>
      <c r="C17" s="106">
        <v>6</v>
      </c>
      <c r="D17" s="105">
        <f t="shared" si="1"/>
        <v>8.4</v>
      </c>
      <c r="E17" s="322">
        <f>(C$4+G$2)*0.9*D17/10000</f>
        <v>346.04856720000004</v>
      </c>
      <c r="F17" s="322">
        <f>(C$4+G$2)*0.07*D17/4000</f>
        <v>67.2872214</v>
      </c>
      <c r="G17" s="322">
        <f t="shared" si="10"/>
        <v>423.78000000000003</v>
      </c>
      <c r="H17" s="322">
        <f>+G$5/120/8*D17</f>
        <v>78.18562500000002</v>
      </c>
      <c r="I17" s="322">
        <f t="shared" si="5"/>
        <v>49.435509599999996</v>
      </c>
      <c r="J17" s="322">
        <f>2*(K$4*6+K$5*12)/40000*A17</f>
        <v>173.53890180000002</v>
      </c>
      <c r="K17" s="322">
        <f>0.12*176*C$5*1.3*B17</f>
        <v>328.154112</v>
      </c>
      <c r="L17" s="322">
        <f t="shared" si="8"/>
        <v>1466.429937</v>
      </c>
      <c r="M17" s="323">
        <f>+L17/24/A17</f>
        <v>1.0183541229166668</v>
      </c>
      <c r="P17" s="104">
        <v>280</v>
      </c>
      <c r="Q17" s="323">
        <v>0.5057929536726191</v>
      </c>
    </row>
    <row r="18" spans="1:17" ht="15">
      <c r="A18" s="104">
        <v>70</v>
      </c>
      <c r="B18" s="105">
        <f t="shared" si="0"/>
        <v>2.8</v>
      </c>
      <c r="C18" s="106">
        <v>6</v>
      </c>
      <c r="D18" s="105">
        <f t="shared" si="1"/>
        <v>8.8</v>
      </c>
      <c r="E18" s="322">
        <f aca="true" t="shared" si="11" ref="E18:E49">+C$4*0.9*D18/10000</f>
        <v>309.85907040000006</v>
      </c>
      <c r="F18" s="322">
        <f aca="true" t="shared" si="12" ref="F18:F49">(C$4+G$2)*0.07*D18/4000</f>
        <v>70.49137480000002</v>
      </c>
      <c r="G18" s="322">
        <f t="shared" si="10"/>
        <v>443.96000000000004</v>
      </c>
      <c r="H18" s="322">
        <f aca="true" t="shared" si="13" ref="H18:H49">+G$5/120/8*D18</f>
        <v>81.90875000000001</v>
      </c>
      <c r="I18" s="322">
        <f t="shared" si="5"/>
        <v>49.2957612</v>
      </c>
      <c r="J18" s="322">
        <f aca="true" t="shared" si="14" ref="J18:J49">2*(K$4*6+K$5*12)/40000*A18</f>
        <v>202.46205210000002</v>
      </c>
      <c r="K18" s="322">
        <f aca="true" t="shared" si="15" ref="K18:K49">0.12*176*C$5*1.3*B18</f>
        <v>382.846464</v>
      </c>
      <c r="L18" s="322">
        <f t="shared" si="8"/>
        <v>1540.8234725000002</v>
      </c>
      <c r="M18" s="323">
        <f aca="true" t="shared" si="16" ref="M18:M49">+L18/24/A18</f>
        <v>0.9171568288690478</v>
      </c>
      <c r="P18" s="104">
        <v>300</v>
      </c>
      <c r="Q18" s="323">
        <v>0.5007675349999999</v>
      </c>
    </row>
    <row r="19" spans="1:17" ht="15">
      <c r="A19" s="104">
        <v>80</v>
      </c>
      <c r="B19" s="105">
        <f t="shared" si="0"/>
        <v>3.2</v>
      </c>
      <c r="C19" s="106">
        <v>6</v>
      </c>
      <c r="D19" s="105">
        <f t="shared" si="1"/>
        <v>9.2</v>
      </c>
      <c r="E19" s="322">
        <f t="shared" si="11"/>
        <v>323.9435736</v>
      </c>
      <c r="F19" s="322">
        <f t="shared" si="12"/>
        <v>73.6955282</v>
      </c>
      <c r="G19" s="322">
        <f t="shared" si="10"/>
        <v>464.14</v>
      </c>
      <c r="H19" s="322">
        <f t="shared" si="13"/>
        <v>85.631875</v>
      </c>
      <c r="I19" s="322">
        <f t="shared" si="5"/>
        <v>56.33801280000001</v>
      </c>
      <c r="J19" s="322">
        <f t="shared" si="14"/>
        <v>231.38520240000003</v>
      </c>
      <c r="K19" s="322">
        <f t="shared" si="15"/>
        <v>437.53881600000005</v>
      </c>
      <c r="L19" s="322">
        <f t="shared" si="8"/>
        <v>1672.673008</v>
      </c>
      <c r="M19" s="323">
        <f t="shared" si="16"/>
        <v>0.8711838583333333</v>
      </c>
      <c r="P19" s="104">
        <v>320</v>
      </c>
      <c r="Q19" s="323">
        <v>0.49637029366145835</v>
      </c>
    </row>
    <row r="20" spans="1:17" ht="15">
      <c r="A20" s="104">
        <v>90</v>
      </c>
      <c r="B20" s="105">
        <f t="shared" si="0"/>
        <v>3.6</v>
      </c>
      <c r="C20" s="106">
        <v>6</v>
      </c>
      <c r="D20" s="105">
        <f t="shared" si="1"/>
        <v>9.6</v>
      </c>
      <c r="E20" s="322">
        <f t="shared" si="11"/>
        <v>338.0280768</v>
      </c>
      <c r="F20" s="322">
        <f t="shared" si="12"/>
        <v>76.89968160000001</v>
      </c>
      <c r="G20" s="322">
        <f t="shared" si="10"/>
        <v>484.32</v>
      </c>
      <c r="H20" s="322">
        <f t="shared" si="13"/>
        <v>89.355</v>
      </c>
      <c r="I20" s="322">
        <f t="shared" si="5"/>
        <v>63.3802644</v>
      </c>
      <c r="J20" s="322">
        <f t="shared" si="14"/>
        <v>260.3083527</v>
      </c>
      <c r="K20" s="322">
        <f t="shared" si="15"/>
        <v>492.2311680000001</v>
      </c>
      <c r="L20" s="322">
        <f t="shared" si="8"/>
        <v>1804.5225435</v>
      </c>
      <c r="M20" s="323">
        <f t="shared" si="16"/>
        <v>0.8354271034722222</v>
      </c>
      <c r="P20" s="104">
        <v>340</v>
      </c>
      <c r="Q20" s="323">
        <v>0.4924903748333333</v>
      </c>
    </row>
    <row r="21" spans="1:17" ht="15">
      <c r="A21" s="104">
        <v>100</v>
      </c>
      <c r="B21" s="105">
        <f t="shared" si="0"/>
        <v>4</v>
      </c>
      <c r="C21" s="106">
        <v>6</v>
      </c>
      <c r="D21" s="105">
        <f t="shared" si="1"/>
        <v>10</v>
      </c>
      <c r="E21" s="322">
        <f t="shared" si="11"/>
        <v>352.11258000000004</v>
      </c>
      <c r="F21" s="322">
        <f t="shared" si="12"/>
        <v>80.103835</v>
      </c>
      <c r="G21" s="322">
        <f t="shared" si="10"/>
        <v>504.5</v>
      </c>
      <c r="H21" s="322">
        <f t="shared" si="13"/>
        <v>93.078125</v>
      </c>
      <c r="I21" s="322">
        <f t="shared" si="5"/>
        <v>70.422516</v>
      </c>
      <c r="J21" s="322">
        <f t="shared" si="14"/>
        <v>289.23150300000003</v>
      </c>
      <c r="K21" s="322">
        <f t="shared" si="15"/>
        <v>546.92352</v>
      </c>
      <c r="L21" s="322">
        <f t="shared" si="8"/>
        <v>1936.3720790000002</v>
      </c>
      <c r="M21" s="323">
        <f t="shared" si="16"/>
        <v>0.8068216995833335</v>
      </c>
      <c r="P21" s="104">
        <v>360</v>
      </c>
      <c r="Q21" s="323">
        <v>0.4890415580972223</v>
      </c>
    </row>
    <row r="22" spans="1:17" ht="15">
      <c r="A22" s="104">
        <v>110</v>
      </c>
      <c r="B22" s="105">
        <f t="shared" si="0"/>
        <v>4.4</v>
      </c>
      <c r="C22" s="106">
        <v>6</v>
      </c>
      <c r="D22" s="105">
        <f t="shared" si="1"/>
        <v>10.4</v>
      </c>
      <c r="E22" s="322">
        <f t="shared" si="11"/>
        <v>366.19708320000007</v>
      </c>
      <c r="F22" s="322">
        <f t="shared" si="12"/>
        <v>83.30798840000001</v>
      </c>
      <c r="G22" s="322">
        <f t="shared" si="10"/>
        <v>524.6800000000001</v>
      </c>
      <c r="H22" s="322">
        <f t="shared" si="13"/>
        <v>96.80125000000001</v>
      </c>
      <c r="I22" s="322">
        <f t="shared" si="5"/>
        <v>77.46476760000002</v>
      </c>
      <c r="J22" s="322">
        <f t="shared" si="14"/>
        <v>318.1546533</v>
      </c>
      <c r="K22" s="322">
        <f t="shared" si="15"/>
        <v>601.6158720000001</v>
      </c>
      <c r="L22" s="322">
        <f t="shared" si="8"/>
        <v>2068.2216145</v>
      </c>
      <c r="M22" s="323">
        <f t="shared" si="16"/>
        <v>0.783417278219697</v>
      </c>
      <c r="P22" s="104">
        <v>380</v>
      </c>
      <c r="Q22" s="323">
        <v>0.48595577470175433</v>
      </c>
    </row>
    <row r="23" spans="1:17" ht="15">
      <c r="A23" s="104">
        <v>120</v>
      </c>
      <c r="B23" s="105">
        <f t="shared" si="0"/>
        <v>4.8</v>
      </c>
      <c r="C23" s="106">
        <v>6</v>
      </c>
      <c r="D23" s="105">
        <f t="shared" si="1"/>
        <v>10.8</v>
      </c>
      <c r="E23" s="322">
        <f t="shared" si="11"/>
        <v>380.28158640000004</v>
      </c>
      <c r="F23" s="322">
        <f t="shared" si="12"/>
        <v>86.51214180000001</v>
      </c>
      <c r="G23" s="322">
        <f t="shared" si="10"/>
        <v>544.86</v>
      </c>
      <c r="H23" s="322">
        <f t="shared" si="13"/>
        <v>100.52437500000002</v>
      </c>
      <c r="I23" s="322">
        <f t="shared" si="5"/>
        <v>84.5070192</v>
      </c>
      <c r="J23" s="322">
        <f t="shared" si="14"/>
        <v>347.07780360000004</v>
      </c>
      <c r="K23" s="322">
        <f t="shared" si="15"/>
        <v>656.308224</v>
      </c>
      <c r="L23" s="322">
        <f t="shared" si="8"/>
        <v>2200.07115</v>
      </c>
      <c r="M23" s="323">
        <f t="shared" si="16"/>
        <v>0.7639135937500001</v>
      </c>
      <c r="P23" s="104">
        <v>400</v>
      </c>
      <c r="Q23" s="323">
        <v>0.48317856964583333</v>
      </c>
    </row>
    <row r="24" spans="1:17" ht="15">
      <c r="A24" s="104">
        <v>130</v>
      </c>
      <c r="B24" s="105">
        <f t="shared" si="0"/>
        <v>5.2</v>
      </c>
      <c r="C24" s="106">
        <v>6</v>
      </c>
      <c r="D24" s="105">
        <f t="shared" si="1"/>
        <v>11.2</v>
      </c>
      <c r="E24" s="322">
        <f t="shared" si="11"/>
        <v>394.36608959999995</v>
      </c>
      <c r="F24" s="322">
        <f t="shared" si="12"/>
        <v>89.7162952</v>
      </c>
      <c r="G24" s="322">
        <f t="shared" si="10"/>
        <v>565.04</v>
      </c>
      <c r="H24" s="322">
        <f t="shared" si="13"/>
        <v>104.2475</v>
      </c>
      <c r="I24" s="322">
        <f t="shared" si="5"/>
        <v>91.5492708</v>
      </c>
      <c r="J24" s="322">
        <f t="shared" si="14"/>
        <v>376.0009539</v>
      </c>
      <c r="K24" s="322">
        <f t="shared" si="15"/>
        <v>711.0005760000001</v>
      </c>
      <c r="L24" s="322">
        <f t="shared" si="8"/>
        <v>2331.9206855</v>
      </c>
      <c r="M24" s="323">
        <f t="shared" si="16"/>
        <v>0.747410476121795</v>
      </c>
      <c r="P24" s="104">
        <v>420</v>
      </c>
      <c r="Q24" s="323">
        <v>0.4806658603095238</v>
      </c>
    </row>
    <row r="25" spans="1:17" ht="15">
      <c r="A25" s="104">
        <v>140</v>
      </c>
      <c r="B25" s="105">
        <f t="shared" si="0"/>
        <v>5.6</v>
      </c>
      <c r="C25" s="106">
        <v>6</v>
      </c>
      <c r="D25" s="105">
        <f t="shared" si="1"/>
        <v>11.6</v>
      </c>
      <c r="E25" s="322">
        <f t="shared" si="11"/>
        <v>408.4505928</v>
      </c>
      <c r="F25" s="322">
        <f t="shared" si="12"/>
        <v>92.9204486</v>
      </c>
      <c r="G25" s="322">
        <f t="shared" si="10"/>
        <v>585.22</v>
      </c>
      <c r="H25" s="322">
        <f t="shared" si="13"/>
        <v>107.970625</v>
      </c>
      <c r="I25" s="322">
        <f t="shared" si="5"/>
        <v>98.59152239999999</v>
      </c>
      <c r="J25" s="322">
        <f t="shared" si="14"/>
        <v>404.92410420000004</v>
      </c>
      <c r="K25" s="322">
        <f t="shared" si="15"/>
        <v>765.692928</v>
      </c>
      <c r="L25" s="322">
        <f t="shared" si="8"/>
        <v>2463.770221</v>
      </c>
      <c r="M25" s="323">
        <f t="shared" si="16"/>
        <v>0.7332649467261905</v>
      </c>
      <c r="P25" s="104">
        <v>440</v>
      </c>
      <c r="Q25" s="323">
        <v>0.478381579094697</v>
      </c>
    </row>
    <row r="26" spans="1:17" ht="15">
      <c r="A26" s="104">
        <v>150</v>
      </c>
      <c r="B26" s="105">
        <f t="shared" si="0"/>
        <v>6</v>
      </c>
      <c r="C26" s="106">
        <v>6</v>
      </c>
      <c r="D26" s="105">
        <f t="shared" si="1"/>
        <v>12</v>
      </c>
      <c r="E26" s="322">
        <f t="shared" si="11"/>
        <v>422.535096</v>
      </c>
      <c r="F26" s="322">
        <f t="shared" si="12"/>
        <v>96.12460200000001</v>
      </c>
      <c r="G26" s="322">
        <f t="shared" si="10"/>
        <v>605.4000000000001</v>
      </c>
      <c r="H26" s="322">
        <f t="shared" si="13"/>
        <v>111.69375000000001</v>
      </c>
      <c r="I26" s="322">
        <f t="shared" si="5"/>
        <v>105.633774</v>
      </c>
      <c r="J26" s="322">
        <f t="shared" si="14"/>
        <v>433.8472545</v>
      </c>
      <c r="K26" s="322">
        <f t="shared" si="15"/>
        <v>820.3852800000001</v>
      </c>
      <c r="L26" s="322">
        <f t="shared" si="8"/>
        <v>2595.6197564999998</v>
      </c>
      <c r="M26" s="323">
        <f t="shared" si="16"/>
        <v>0.7210054879166666</v>
      </c>
      <c r="P26" s="104">
        <v>460</v>
      </c>
      <c r="Q26" s="323">
        <v>0.47629593102898543</v>
      </c>
    </row>
    <row r="27" spans="1:17" ht="15">
      <c r="A27" s="104">
        <v>160</v>
      </c>
      <c r="B27" s="105">
        <f t="shared" si="0"/>
        <v>6.4</v>
      </c>
      <c r="C27" s="106">
        <v>6</v>
      </c>
      <c r="D27" s="105">
        <f t="shared" si="1"/>
        <v>12.4</v>
      </c>
      <c r="E27" s="322">
        <f t="shared" si="11"/>
        <v>436.61959920000004</v>
      </c>
      <c r="F27" s="322">
        <f t="shared" si="12"/>
        <v>99.3287554</v>
      </c>
      <c r="G27" s="322">
        <f t="shared" si="10"/>
        <v>625.58</v>
      </c>
      <c r="H27" s="322">
        <f t="shared" si="13"/>
        <v>115.41687500000002</v>
      </c>
      <c r="I27" s="322">
        <f t="shared" si="5"/>
        <v>112.67602560000002</v>
      </c>
      <c r="J27" s="322">
        <f t="shared" si="14"/>
        <v>462.77040480000005</v>
      </c>
      <c r="K27" s="322">
        <f t="shared" si="15"/>
        <v>875.0776320000001</v>
      </c>
      <c r="L27" s="322">
        <f t="shared" si="8"/>
        <v>2727.469292</v>
      </c>
      <c r="M27" s="323">
        <f t="shared" si="16"/>
        <v>0.7102784614583334</v>
      </c>
      <c r="P27" s="104">
        <v>480</v>
      </c>
      <c r="Q27" s="323">
        <v>0.47438408696875</v>
      </c>
    </row>
    <row r="28" spans="1:17" ht="15.75" customHeight="1">
      <c r="A28" s="104">
        <v>170</v>
      </c>
      <c r="B28" s="105">
        <f t="shared" si="0"/>
        <v>6.8</v>
      </c>
      <c r="C28" s="106">
        <v>6</v>
      </c>
      <c r="D28" s="105">
        <f t="shared" si="1"/>
        <v>12.8</v>
      </c>
      <c r="E28" s="322">
        <f t="shared" si="11"/>
        <v>450.7041024</v>
      </c>
      <c r="F28" s="322">
        <f t="shared" si="12"/>
        <v>102.53290880000002</v>
      </c>
      <c r="G28" s="322">
        <f t="shared" si="10"/>
        <v>645.7600000000001</v>
      </c>
      <c r="H28" s="322">
        <f t="shared" si="13"/>
        <v>119.14000000000001</v>
      </c>
      <c r="I28" s="322">
        <f t="shared" si="5"/>
        <v>119.7182772</v>
      </c>
      <c r="J28" s="322">
        <f t="shared" si="14"/>
        <v>491.6935551</v>
      </c>
      <c r="K28" s="322">
        <f t="shared" si="15"/>
        <v>929.769984</v>
      </c>
      <c r="L28" s="322">
        <f t="shared" si="8"/>
        <v>2859.3188275</v>
      </c>
      <c r="M28" s="323">
        <f t="shared" si="16"/>
        <v>0.7008134381127451</v>
      </c>
      <c r="N28" s="357"/>
      <c r="P28" s="104">
        <v>500</v>
      </c>
      <c r="Q28" s="323">
        <v>0.4726251904333333</v>
      </c>
    </row>
    <row r="29" spans="1:13" ht="15" hidden="1">
      <c r="A29" s="104">
        <v>180</v>
      </c>
      <c r="B29" s="105">
        <f t="shared" si="0"/>
        <v>7.2</v>
      </c>
      <c r="C29" s="106">
        <v>6</v>
      </c>
      <c r="D29" s="105">
        <f t="shared" si="1"/>
        <v>13.2</v>
      </c>
      <c r="E29" s="322">
        <f t="shared" si="11"/>
        <v>464.7886056</v>
      </c>
      <c r="F29" s="322">
        <f t="shared" si="12"/>
        <v>105.7370622</v>
      </c>
      <c r="G29" s="322">
        <f t="shared" si="10"/>
        <v>665.94</v>
      </c>
      <c r="H29" s="322">
        <f t="shared" si="13"/>
        <v>122.863125</v>
      </c>
      <c r="I29" s="322">
        <f t="shared" si="5"/>
        <v>126.7605288</v>
      </c>
      <c r="J29" s="322">
        <f t="shared" si="14"/>
        <v>520.6167054</v>
      </c>
      <c r="K29" s="322">
        <f t="shared" si="15"/>
        <v>984.4623360000002</v>
      </c>
      <c r="L29" s="322">
        <f t="shared" si="8"/>
        <v>2991.168363</v>
      </c>
      <c r="M29" s="323">
        <f t="shared" si="16"/>
        <v>0.6924000840277779</v>
      </c>
    </row>
    <row r="30" spans="1:13" ht="15" hidden="1">
      <c r="A30" s="104">
        <v>190</v>
      </c>
      <c r="B30" s="105">
        <f t="shared" si="0"/>
        <v>7.6</v>
      </c>
      <c r="C30" s="106">
        <v>6</v>
      </c>
      <c r="D30" s="105">
        <f t="shared" si="1"/>
        <v>13.6</v>
      </c>
      <c r="E30" s="322">
        <f t="shared" si="11"/>
        <v>478.87310880000007</v>
      </c>
      <c r="F30" s="322">
        <f t="shared" si="12"/>
        <v>108.9412156</v>
      </c>
      <c r="G30" s="322">
        <f t="shared" si="10"/>
        <v>686.12</v>
      </c>
      <c r="H30" s="322">
        <f t="shared" si="13"/>
        <v>126.58625</v>
      </c>
      <c r="I30" s="322">
        <f t="shared" si="5"/>
        <v>133.80278040000002</v>
      </c>
      <c r="J30" s="322">
        <f t="shared" si="14"/>
        <v>549.5398557000001</v>
      </c>
      <c r="K30" s="322">
        <f t="shared" si="15"/>
        <v>1039.154688</v>
      </c>
      <c r="L30" s="322">
        <f t="shared" si="8"/>
        <v>3123.0178985000007</v>
      </c>
      <c r="M30" s="323">
        <f t="shared" si="16"/>
        <v>0.6848723461622809</v>
      </c>
    </row>
    <row r="31" spans="1:13" ht="15" hidden="1">
      <c r="A31" s="104">
        <v>200</v>
      </c>
      <c r="B31" s="105">
        <f t="shared" si="0"/>
        <v>8</v>
      </c>
      <c r="C31" s="106">
        <v>6</v>
      </c>
      <c r="D31" s="105">
        <f t="shared" si="1"/>
        <v>14</v>
      </c>
      <c r="E31" s="322">
        <f t="shared" si="11"/>
        <v>492.957612</v>
      </c>
      <c r="F31" s="322">
        <f t="shared" si="12"/>
        <v>112.145369</v>
      </c>
      <c r="G31" s="322">
        <f t="shared" si="10"/>
        <v>706.3000000000001</v>
      </c>
      <c r="H31" s="322">
        <f t="shared" si="13"/>
        <v>130.30937500000002</v>
      </c>
      <c r="I31" s="322">
        <f t="shared" si="5"/>
        <v>140.845032</v>
      </c>
      <c r="J31" s="322">
        <f t="shared" si="14"/>
        <v>578.4630060000001</v>
      </c>
      <c r="K31" s="322">
        <f t="shared" si="15"/>
        <v>1093.84704</v>
      </c>
      <c r="L31" s="322">
        <f t="shared" si="8"/>
        <v>3254.8674340000002</v>
      </c>
      <c r="M31" s="323">
        <f t="shared" si="16"/>
        <v>0.6780973820833335</v>
      </c>
    </row>
    <row r="32" spans="1:13" ht="15" hidden="1">
      <c r="A32" s="104">
        <v>210</v>
      </c>
      <c r="B32" s="105">
        <f t="shared" si="0"/>
        <v>8.4</v>
      </c>
      <c r="C32" s="106">
        <v>6</v>
      </c>
      <c r="D32" s="105">
        <f t="shared" si="1"/>
        <v>14.4</v>
      </c>
      <c r="E32" s="322">
        <f t="shared" si="11"/>
        <v>507.04211520000007</v>
      </c>
      <c r="F32" s="322">
        <f t="shared" si="12"/>
        <v>115.34952240000001</v>
      </c>
      <c r="G32" s="322">
        <f t="shared" si="10"/>
        <v>726.48</v>
      </c>
      <c r="H32" s="322">
        <f t="shared" si="13"/>
        <v>134.03250000000003</v>
      </c>
      <c r="I32" s="322">
        <f t="shared" si="5"/>
        <v>147.88728360000002</v>
      </c>
      <c r="J32" s="322">
        <f t="shared" si="14"/>
        <v>607.3861563</v>
      </c>
      <c r="K32" s="322">
        <f t="shared" si="15"/>
        <v>1148.5393920000001</v>
      </c>
      <c r="L32" s="322">
        <f t="shared" si="8"/>
        <v>3386.7169695000007</v>
      </c>
      <c r="M32" s="323">
        <f t="shared" si="16"/>
        <v>0.6719676526785716</v>
      </c>
    </row>
    <row r="33" spans="1:13" ht="15" hidden="1">
      <c r="A33" s="104">
        <v>220</v>
      </c>
      <c r="B33" s="105">
        <f t="shared" si="0"/>
        <v>8.8</v>
      </c>
      <c r="C33" s="106">
        <v>6</v>
      </c>
      <c r="D33" s="105">
        <f t="shared" si="1"/>
        <v>14.8</v>
      </c>
      <c r="E33" s="322">
        <f t="shared" si="11"/>
        <v>521.1266184</v>
      </c>
      <c r="F33" s="322">
        <f t="shared" si="12"/>
        <v>118.55367580000001</v>
      </c>
      <c r="G33" s="322">
        <f t="shared" si="10"/>
        <v>746.6600000000001</v>
      </c>
      <c r="H33" s="322">
        <f t="shared" si="13"/>
        <v>137.755625</v>
      </c>
      <c r="I33" s="322">
        <f t="shared" si="5"/>
        <v>154.9295352</v>
      </c>
      <c r="J33" s="322">
        <f t="shared" si="14"/>
        <v>636.3093066</v>
      </c>
      <c r="K33" s="322">
        <f t="shared" si="15"/>
        <v>1203.2317440000002</v>
      </c>
      <c r="L33" s="322">
        <f t="shared" si="8"/>
        <v>3518.5665050000002</v>
      </c>
      <c r="M33" s="323">
        <f t="shared" si="16"/>
        <v>0.6663951714015152</v>
      </c>
    </row>
    <row r="34" spans="1:13" ht="15" hidden="1">
      <c r="A34" s="104">
        <v>230</v>
      </c>
      <c r="B34" s="105">
        <f t="shared" si="0"/>
        <v>9.2</v>
      </c>
      <c r="C34" s="106">
        <v>6</v>
      </c>
      <c r="D34" s="105">
        <f t="shared" si="1"/>
        <v>15.2</v>
      </c>
      <c r="E34" s="322">
        <f t="shared" si="11"/>
        <v>535.2111216</v>
      </c>
      <c r="F34" s="322">
        <f t="shared" si="12"/>
        <v>121.7578292</v>
      </c>
      <c r="G34" s="322">
        <f t="shared" si="10"/>
        <v>766.84</v>
      </c>
      <c r="H34" s="322">
        <f t="shared" si="13"/>
        <v>141.47875</v>
      </c>
      <c r="I34" s="322">
        <f t="shared" si="5"/>
        <v>161.9717868</v>
      </c>
      <c r="J34" s="322">
        <f t="shared" si="14"/>
        <v>665.2324569000001</v>
      </c>
      <c r="K34" s="322">
        <f t="shared" si="15"/>
        <v>1257.924096</v>
      </c>
      <c r="L34" s="322">
        <f t="shared" si="8"/>
        <v>3650.4160405000002</v>
      </c>
      <c r="M34" s="323">
        <f t="shared" si="16"/>
        <v>0.6613072537137682</v>
      </c>
    </row>
    <row r="35" spans="1:13" ht="15" hidden="1">
      <c r="A35" s="104">
        <v>240</v>
      </c>
      <c r="B35" s="105">
        <f t="shared" si="0"/>
        <v>9.6</v>
      </c>
      <c r="C35" s="106">
        <v>6</v>
      </c>
      <c r="D35" s="105">
        <f t="shared" si="1"/>
        <v>15.6</v>
      </c>
      <c r="E35" s="322">
        <f t="shared" si="11"/>
        <v>549.2956247999999</v>
      </c>
      <c r="F35" s="322">
        <f t="shared" si="12"/>
        <v>124.9619826</v>
      </c>
      <c r="G35" s="322">
        <f t="shared" si="10"/>
        <v>787.02</v>
      </c>
      <c r="H35" s="322">
        <f t="shared" si="13"/>
        <v>145.201875</v>
      </c>
      <c r="I35" s="322">
        <f t="shared" si="5"/>
        <v>169.01403839999998</v>
      </c>
      <c r="J35" s="322">
        <f t="shared" si="14"/>
        <v>694.1556072000001</v>
      </c>
      <c r="K35" s="322">
        <f t="shared" si="15"/>
        <v>1312.616448</v>
      </c>
      <c r="L35" s="322">
        <f t="shared" si="8"/>
        <v>3782.265576</v>
      </c>
      <c r="M35" s="323">
        <f t="shared" si="16"/>
        <v>0.6566433291666666</v>
      </c>
    </row>
    <row r="36" spans="1:13" ht="15" hidden="1">
      <c r="A36" s="104">
        <v>250</v>
      </c>
      <c r="B36" s="105">
        <f t="shared" si="0"/>
        <v>10</v>
      </c>
      <c r="C36" s="106">
        <v>6</v>
      </c>
      <c r="D36" s="105">
        <f t="shared" si="1"/>
        <v>16</v>
      </c>
      <c r="E36" s="322">
        <f t="shared" si="11"/>
        <v>563.380128</v>
      </c>
      <c r="F36" s="322">
        <f t="shared" si="12"/>
        <v>128.16613600000002</v>
      </c>
      <c r="G36" s="322">
        <f t="shared" si="10"/>
        <v>807.2</v>
      </c>
      <c r="H36" s="322">
        <f t="shared" si="13"/>
        <v>148.925</v>
      </c>
      <c r="I36" s="322">
        <f t="shared" si="5"/>
        <v>176.05629</v>
      </c>
      <c r="J36" s="322">
        <f t="shared" si="14"/>
        <v>723.0787575</v>
      </c>
      <c r="K36" s="322">
        <f t="shared" si="15"/>
        <v>1367.3088000000002</v>
      </c>
      <c r="L36" s="322">
        <f t="shared" si="8"/>
        <v>3914.1151115000002</v>
      </c>
      <c r="M36" s="323">
        <f t="shared" si="16"/>
        <v>0.6523525185833333</v>
      </c>
    </row>
    <row r="37" spans="1:13" ht="15" hidden="1">
      <c r="A37" s="104">
        <v>260</v>
      </c>
      <c r="B37" s="105">
        <f t="shared" si="0"/>
        <v>10.4</v>
      </c>
      <c r="C37" s="106">
        <v>6</v>
      </c>
      <c r="D37" s="105">
        <f t="shared" si="1"/>
        <v>16.4</v>
      </c>
      <c r="E37" s="322">
        <f t="shared" si="11"/>
        <v>577.4646312</v>
      </c>
      <c r="F37" s="322">
        <f t="shared" si="12"/>
        <v>131.37028940000002</v>
      </c>
      <c r="G37" s="322">
        <f t="shared" si="10"/>
        <v>827.38</v>
      </c>
      <c r="H37" s="322">
        <f t="shared" si="13"/>
        <v>152.648125</v>
      </c>
      <c r="I37" s="322">
        <f t="shared" si="5"/>
        <v>183.0985416</v>
      </c>
      <c r="J37" s="322">
        <f t="shared" si="14"/>
        <v>752.0019078</v>
      </c>
      <c r="K37" s="322">
        <f t="shared" si="15"/>
        <v>1422.0011520000003</v>
      </c>
      <c r="L37" s="322">
        <f t="shared" si="8"/>
        <v>4045.9646470000002</v>
      </c>
      <c r="M37" s="323">
        <f t="shared" si="16"/>
        <v>0.6483917703525641</v>
      </c>
    </row>
    <row r="38" spans="1:13" ht="15" hidden="1">
      <c r="A38" s="104">
        <v>280</v>
      </c>
      <c r="B38" s="105">
        <f t="shared" si="0"/>
        <v>11.2</v>
      </c>
      <c r="C38" s="106">
        <v>6</v>
      </c>
      <c r="D38" s="105">
        <f t="shared" si="1"/>
        <v>17.2</v>
      </c>
      <c r="E38" s="322">
        <f t="shared" si="11"/>
        <v>605.6336376</v>
      </c>
      <c r="F38" s="322">
        <f t="shared" si="12"/>
        <v>137.7785962</v>
      </c>
      <c r="G38" s="322">
        <f t="shared" si="10"/>
        <v>867.74</v>
      </c>
      <c r="H38" s="322">
        <f t="shared" si="13"/>
        <v>160.094375</v>
      </c>
      <c r="I38" s="322">
        <f t="shared" si="5"/>
        <v>197.1830448</v>
      </c>
      <c r="J38" s="322">
        <f t="shared" si="14"/>
        <v>809.8482084000001</v>
      </c>
      <c r="K38" s="322">
        <f t="shared" si="15"/>
        <v>1531.385856</v>
      </c>
      <c r="L38" s="322">
        <f t="shared" si="8"/>
        <v>4309.663718000001</v>
      </c>
      <c r="M38" s="323">
        <f t="shared" si="16"/>
        <v>0.641319005654762</v>
      </c>
    </row>
    <row r="39" spans="1:13" ht="15" hidden="1">
      <c r="A39" s="104">
        <v>300</v>
      </c>
      <c r="B39" s="105">
        <f t="shared" si="0"/>
        <v>12</v>
      </c>
      <c r="C39" s="106">
        <v>6</v>
      </c>
      <c r="D39" s="105">
        <f t="shared" si="1"/>
        <v>18</v>
      </c>
      <c r="E39" s="322">
        <f t="shared" si="11"/>
        <v>633.802644</v>
      </c>
      <c r="F39" s="322">
        <f t="shared" si="12"/>
        <v>144.18690300000003</v>
      </c>
      <c r="G39" s="322">
        <f t="shared" si="10"/>
        <v>908.1</v>
      </c>
      <c r="H39" s="322">
        <f t="shared" si="13"/>
        <v>167.540625</v>
      </c>
      <c r="I39" s="322">
        <f t="shared" si="5"/>
        <v>211.267548</v>
      </c>
      <c r="J39" s="322">
        <f t="shared" si="14"/>
        <v>867.694509</v>
      </c>
      <c r="K39" s="322">
        <f t="shared" si="15"/>
        <v>1640.7705600000002</v>
      </c>
      <c r="L39" s="322">
        <f t="shared" si="8"/>
        <v>4573.362789</v>
      </c>
      <c r="M39" s="323">
        <f t="shared" si="16"/>
        <v>0.63518927625</v>
      </c>
    </row>
    <row r="40" spans="1:13" ht="15" hidden="1">
      <c r="A40" s="104">
        <v>320</v>
      </c>
      <c r="B40" s="105">
        <f t="shared" si="0"/>
        <v>12.8</v>
      </c>
      <c r="C40" s="106">
        <v>6</v>
      </c>
      <c r="D40" s="105">
        <f t="shared" si="1"/>
        <v>18.8</v>
      </c>
      <c r="E40" s="322">
        <f t="shared" si="11"/>
        <v>661.9716504</v>
      </c>
      <c r="F40" s="322">
        <f t="shared" si="12"/>
        <v>150.59520980000002</v>
      </c>
      <c r="G40" s="322">
        <f t="shared" si="10"/>
        <v>948.46</v>
      </c>
      <c r="H40" s="322">
        <f t="shared" si="13"/>
        <v>174.98687500000003</v>
      </c>
      <c r="I40" s="322">
        <f t="shared" si="5"/>
        <v>225.3520512</v>
      </c>
      <c r="J40" s="322">
        <f t="shared" si="14"/>
        <v>925.5408096000001</v>
      </c>
      <c r="K40" s="322">
        <f t="shared" si="15"/>
        <v>1750.1552640000002</v>
      </c>
      <c r="L40" s="322">
        <f t="shared" si="8"/>
        <v>4837.061860000001</v>
      </c>
      <c r="M40" s="323">
        <f t="shared" si="16"/>
        <v>0.6298257630208334</v>
      </c>
    </row>
    <row r="41" spans="1:13" ht="15" hidden="1">
      <c r="A41" s="104">
        <v>340</v>
      </c>
      <c r="B41" s="105">
        <f t="shared" si="0"/>
        <v>13.6</v>
      </c>
      <c r="C41" s="106">
        <v>6</v>
      </c>
      <c r="D41" s="105">
        <f t="shared" si="1"/>
        <v>19.6</v>
      </c>
      <c r="E41" s="322">
        <f t="shared" si="11"/>
        <v>690.1406568000001</v>
      </c>
      <c r="F41" s="322">
        <f t="shared" si="12"/>
        <v>157.00351660000004</v>
      </c>
      <c r="G41" s="322">
        <f t="shared" si="10"/>
        <v>988.8200000000002</v>
      </c>
      <c r="H41" s="322">
        <f t="shared" si="13"/>
        <v>182.43312500000002</v>
      </c>
      <c r="I41" s="322">
        <f t="shared" si="5"/>
        <v>239.43655440000003</v>
      </c>
      <c r="J41" s="322">
        <f t="shared" si="14"/>
        <v>983.3871102</v>
      </c>
      <c r="K41" s="322">
        <f t="shared" si="15"/>
        <v>1859.539968</v>
      </c>
      <c r="L41" s="322">
        <f t="shared" si="8"/>
        <v>5100.760931000001</v>
      </c>
      <c r="M41" s="323">
        <f t="shared" si="16"/>
        <v>0.6250932513480393</v>
      </c>
    </row>
    <row r="42" spans="1:13" ht="15" hidden="1">
      <c r="A42" s="104">
        <v>360</v>
      </c>
      <c r="B42" s="105">
        <f t="shared" si="0"/>
        <v>14.4</v>
      </c>
      <c r="C42" s="106">
        <v>6</v>
      </c>
      <c r="D42" s="105">
        <f t="shared" si="1"/>
        <v>20.4</v>
      </c>
      <c r="E42" s="322">
        <f t="shared" si="11"/>
        <v>718.3096632</v>
      </c>
      <c r="F42" s="322">
        <f t="shared" si="12"/>
        <v>163.4118234</v>
      </c>
      <c r="G42" s="322">
        <f t="shared" si="10"/>
        <v>1029.18</v>
      </c>
      <c r="H42" s="322">
        <f t="shared" si="13"/>
        <v>189.879375</v>
      </c>
      <c r="I42" s="322">
        <f t="shared" si="5"/>
        <v>253.52105760000003</v>
      </c>
      <c r="J42" s="322">
        <f t="shared" si="14"/>
        <v>1041.2334108</v>
      </c>
      <c r="K42" s="322">
        <f t="shared" si="15"/>
        <v>1968.9246720000003</v>
      </c>
      <c r="L42" s="322">
        <f t="shared" si="8"/>
        <v>5364.460002000001</v>
      </c>
      <c r="M42" s="323">
        <f t="shared" si="16"/>
        <v>0.6208865743055557</v>
      </c>
    </row>
    <row r="43" spans="1:13" ht="15" hidden="1">
      <c r="A43" s="104">
        <v>380</v>
      </c>
      <c r="B43" s="105">
        <f t="shared" si="0"/>
        <v>15.2</v>
      </c>
      <c r="C43" s="106">
        <v>6</v>
      </c>
      <c r="D43" s="105">
        <f t="shared" si="1"/>
        <v>21.2</v>
      </c>
      <c r="E43" s="322">
        <f t="shared" si="11"/>
        <v>746.4786696000001</v>
      </c>
      <c r="F43" s="322">
        <f t="shared" si="12"/>
        <v>169.82013020000002</v>
      </c>
      <c r="G43" s="322">
        <f t="shared" si="10"/>
        <v>1069.54</v>
      </c>
      <c r="H43" s="322">
        <f t="shared" si="13"/>
        <v>197.325625</v>
      </c>
      <c r="I43" s="322">
        <f t="shared" si="5"/>
        <v>267.60556080000003</v>
      </c>
      <c r="J43" s="322">
        <f t="shared" si="14"/>
        <v>1099.0797114000002</v>
      </c>
      <c r="K43" s="322">
        <f t="shared" si="15"/>
        <v>2078.309376</v>
      </c>
      <c r="L43" s="322">
        <f t="shared" si="8"/>
        <v>5628.159073000001</v>
      </c>
      <c r="M43" s="323">
        <f t="shared" si="16"/>
        <v>0.6171227053728071</v>
      </c>
    </row>
    <row r="44" spans="1:13" ht="15" hidden="1">
      <c r="A44" s="104">
        <v>400</v>
      </c>
      <c r="B44" s="105">
        <f t="shared" si="0"/>
        <v>16</v>
      </c>
      <c r="C44" s="106">
        <v>6</v>
      </c>
      <c r="D44" s="105">
        <f t="shared" si="1"/>
        <v>22</v>
      </c>
      <c r="E44" s="322">
        <f t="shared" si="11"/>
        <v>774.647676</v>
      </c>
      <c r="F44" s="322">
        <f t="shared" si="12"/>
        <v>176.228437</v>
      </c>
      <c r="G44" s="322">
        <f t="shared" si="10"/>
        <v>1109.9</v>
      </c>
      <c r="H44" s="322">
        <f t="shared" si="13"/>
        <v>204.77187500000002</v>
      </c>
      <c r="I44" s="322">
        <f t="shared" si="5"/>
        <v>281.690064</v>
      </c>
      <c r="J44" s="322">
        <f t="shared" si="14"/>
        <v>1156.9260120000001</v>
      </c>
      <c r="K44" s="322">
        <f t="shared" si="15"/>
        <v>2187.69408</v>
      </c>
      <c r="L44" s="322">
        <f t="shared" si="8"/>
        <v>5891.858144</v>
      </c>
      <c r="M44" s="323">
        <f t="shared" si="16"/>
        <v>0.6137352233333333</v>
      </c>
    </row>
    <row r="45" spans="1:13" ht="15" hidden="1">
      <c r="A45" s="104">
        <v>420</v>
      </c>
      <c r="B45" s="105">
        <f t="shared" si="0"/>
        <v>16.8</v>
      </c>
      <c r="C45" s="106">
        <v>6</v>
      </c>
      <c r="D45" s="105">
        <f t="shared" si="1"/>
        <v>22.8</v>
      </c>
      <c r="E45" s="322">
        <f t="shared" si="11"/>
        <v>802.8166824000001</v>
      </c>
      <c r="F45" s="322">
        <f t="shared" si="12"/>
        <v>182.63674380000003</v>
      </c>
      <c r="G45" s="322">
        <f t="shared" si="10"/>
        <v>1150.26</v>
      </c>
      <c r="H45" s="322">
        <f t="shared" si="13"/>
        <v>212.21812500000001</v>
      </c>
      <c r="I45" s="322">
        <f t="shared" si="5"/>
        <v>295.77456720000004</v>
      </c>
      <c r="J45" s="322">
        <f t="shared" si="14"/>
        <v>1214.7723126</v>
      </c>
      <c r="K45" s="322">
        <f t="shared" si="15"/>
        <v>2297.0787840000003</v>
      </c>
      <c r="L45" s="322">
        <f t="shared" si="8"/>
        <v>6155.557215000001</v>
      </c>
      <c r="M45" s="323">
        <f t="shared" si="16"/>
        <v>0.6106703586309524</v>
      </c>
    </row>
    <row r="46" spans="1:13" ht="15" hidden="1">
      <c r="A46" s="104">
        <v>440</v>
      </c>
      <c r="B46" s="105">
        <f t="shared" si="0"/>
        <v>17.6</v>
      </c>
      <c r="C46" s="106">
        <v>6</v>
      </c>
      <c r="D46" s="105">
        <f t="shared" si="1"/>
        <v>23.6</v>
      </c>
      <c r="E46" s="322">
        <f t="shared" si="11"/>
        <v>830.9856888000002</v>
      </c>
      <c r="F46" s="322">
        <f t="shared" si="12"/>
        <v>189.04505060000002</v>
      </c>
      <c r="G46" s="322">
        <f t="shared" si="10"/>
        <v>1190.6200000000001</v>
      </c>
      <c r="H46" s="322">
        <f t="shared" si="13"/>
        <v>219.66437500000004</v>
      </c>
      <c r="I46" s="322">
        <f t="shared" si="5"/>
        <v>309.85907040000006</v>
      </c>
      <c r="J46" s="322">
        <f t="shared" si="14"/>
        <v>1272.6186132</v>
      </c>
      <c r="K46" s="322">
        <f t="shared" si="15"/>
        <v>2406.4634880000003</v>
      </c>
      <c r="L46" s="322">
        <f t="shared" si="8"/>
        <v>6419.256286000001</v>
      </c>
      <c r="M46" s="323">
        <f t="shared" si="16"/>
        <v>0.6078841179924244</v>
      </c>
    </row>
    <row r="47" spans="1:13" ht="15" hidden="1">
      <c r="A47" s="104">
        <v>460</v>
      </c>
      <c r="B47" s="105">
        <f t="shared" si="0"/>
        <v>18.4</v>
      </c>
      <c r="C47" s="106">
        <v>6</v>
      </c>
      <c r="D47" s="105">
        <f t="shared" si="1"/>
        <v>24.4</v>
      </c>
      <c r="E47" s="322">
        <f t="shared" si="11"/>
        <v>859.1546952</v>
      </c>
      <c r="F47" s="322">
        <f t="shared" si="12"/>
        <v>195.45335740000002</v>
      </c>
      <c r="G47" s="322">
        <f t="shared" si="10"/>
        <v>1230.98</v>
      </c>
      <c r="H47" s="322">
        <f t="shared" si="13"/>
        <v>227.110625</v>
      </c>
      <c r="I47" s="322">
        <f t="shared" si="5"/>
        <v>323.9435736</v>
      </c>
      <c r="J47" s="322">
        <f t="shared" si="14"/>
        <v>1330.4649138000002</v>
      </c>
      <c r="K47" s="322">
        <f t="shared" si="15"/>
        <v>2515.848192</v>
      </c>
      <c r="L47" s="322">
        <f t="shared" si="8"/>
        <v>6682.955357000001</v>
      </c>
      <c r="M47" s="323">
        <f t="shared" si="16"/>
        <v>0.6053401591485508</v>
      </c>
    </row>
    <row r="48" spans="1:13" ht="15" hidden="1">
      <c r="A48" s="104">
        <v>480</v>
      </c>
      <c r="B48" s="105">
        <f t="shared" si="0"/>
        <v>19.2</v>
      </c>
      <c r="C48" s="106">
        <v>6</v>
      </c>
      <c r="D48" s="105">
        <f t="shared" si="1"/>
        <v>25.2</v>
      </c>
      <c r="E48" s="322">
        <f t="shared" si="11"/>
        <v>887.3237016</v>
      </c>
      <c r="F48" s="322">
        <f t="shared" si="12"/>
        <v>201.86166420000004</v>
      </c>
      <c r="G48" s="322">
        <f t="shared" si="10"/>
        <v>1271.3400000000001</v>
      </c>
      <c r="H48" s="322">
        <f t="shared" si="13"/>
        <v>234.55687500000002</v>
      </c>
      <c r="I48" s="322">
        <f t="shared" si="5"/>
        <v>338.0280768</v>
      </c>
      <c r="J48" s="322">
        <f t="shared" si="14"/>
        <v>1388.3112144000002</v>
      </c>
      <c r="K48" s="322">
        <f t="shared" si="15"/>
        <v>2625.232896</v>
      </c>
      <c r="L48" s="322">
        <f t="shared" si="8"/>
        <v>6946.654428</v>
      </c>
      <c r="M48" s="323">
        <f t="shared" si="16"/>
        <v>0.6030081968750001</v>
      </c>
    </row>
    <row r="49" spans="1:13" ht="15" hidden="1">
      <c r="A49" s="104">
        <v>500</v>
      </c>
      <c r="B49" s="105">
        <f t="shared" si="0"/>
        <v>20</v>
      </c>
      <c r="C49" s="106">
        <v>6</v>
      </c>
      <c r="D49" s="105">
        <f t="shared" si="1"/>
        <v>26</v>
      </c>
      <c r="E49" s="322">
        <f t="shared" si="11"/>
        <v>915.492708</v>
      </c>
      <c r="F49" s="322">
        <f t="shared" si="12"/>
        <v>208.26997100000003</v>
      </c>
      <c r="G49" s="322">
        <f t="shared" si="10"/>
        <v>1311.7</v>
      </c>
      <c r="H49" s="322">
        <f t="shared" si="13"/>
        <v>242.003125</v>
      </c>
      <c r="I49" s="322">
        <f t="shared" si="5"/>
        <v>352.11258</v>
      </c>
      <c r="J49" s="322">
        <f t="shared" si="14"/>
        <v>1446.157515</v>
      </c>
      <c r="K49" s="322">
        <f t="shared" si="15"/>
        <v>2734.6176000000005</v>
      </c>
      <c r="L49" s="322">
        <f t="shared" si="8"/>
        <v>7210.353499000001</v>
      </c>
      <c r="M49" s="323">
        <f t="shared" si="16"/>
        <v>0.6008627915833334</v>
      </c>
    </row>
    <row r="50" spans="2:17" ht="15" hidden="1">
      <c r="B50" s="100">
        <f>SUM(B8:B49)</f>
        <v>332.4</v>
      </c>
      <c r="C50" s="321">
        <f aca="true" t="shared" si="17" ref="C50:L50">SUM(C8:C49)</f>
        <v>220.5</v>
      </c>
      <c r="D50" s="321">
        <f t="shared" si="17"/>
        <v>552.9</v>
      </c>
      <c r="E50" s="321">
        <f t="shared" si="17"/>
        <v>19582.679088495</v>
      </c>
      <c r="F50" s="321">
        <f t="shared" si="17"/>
        <v>4402.652156096251</v>
      </c>
      <c r="G50" s="321">
        <f t="shared" si="17"/>
        <v>27893.805</v>
      </c>
      <c r="H50" s="321">
        <f t="shared" si="17"/>
        <v>5077.350206250002</v>
      </c>
      <c r="I50" s="321">
        <f t="shared" si="17"/>
        <v>5869.68776181</v>
      </c>
      <c r="J50" s="321">
        <f t="shared" si="17"/>
        <v>23455.217848499997</v>
      </c>
      <c r="K50" s="321">
        <f t="shared" si="17"/>
        <v>45189.24508800001</v>
      </c>
      <c r="L50" s="321">
        <f t="shared" si="17"/>
        <v>131470.63714915127</v>
      </c>
      <c r="M50" s="321">
        <f>SUM(M8:M49)</f>
        <v>41.94185121998634</v>
      </c>
      <c r="Q50" s="325"/>
    </row>
    <row r="51" spans="2:17" ht="15" hidden="1">
      <c r="B51" s="100">
        <v>332.4</v>
      </c>
      <c r="C51" s="321">
        <v>220.5</v>
      </c>
      <c r="D51" s="321">
        <v>552.9</v>
      </c>
      <c r="E51" s="321">
        <v>7260.32405727</v>
      </c>
      <c r="F51" s="321">
        <v>1411.7296778025002</v>
      </c>
      <c r="G51" s="321">
        <v>1774.2561</v>
      </c>
      <c r="H51" s="321">
        <v>595.058625</v>
      </c>
      <c r="I51" s="321">
        <v>2190.91006386</v>
      </c>
      <c r="J51" s="321">
        <v>5395.168709999998</v>
      </c>
      <c r="K51" s="321">
        <v>11251.940543999995</v>
      </c>
      <c r="L51" s="321">
        <v>29879.387777932512</v>
      </c>
      <c r="M51" s="321">
        <v>6.97636536332065</v>
      </c>
      <c r="Q51" s="325"/>
    </row>
    <row r="52" ht="15">
      <c r="Q52" s="325"/>
    </row>
    <row r="53" ht="15">
      <c r="Q53" s="325"/>
    </row>
    <row r="54" ht="15">
      <c r="Q54" s="325"/>
    </row>
    <row r="55" ht="15">
      <c r="Q55" s="325"/>
    </row>
    <row r="56" ht="15">
      <c r="Q56" s="325"/>
    </row>
    <row r="57" ht="15">
      <c r="Q57" s="325"/>
    </row>
    <row r="58" ht="15">
      <c r="Q58" s="325"/>
    </row>
    <row r="59" ht="15">
      <c r="Q59" s="325"/>
    </row>
    <row r="60" ht="15">
      <c r="Q60" s="325"/>
    </row>
    <row r="61" ht="15">
      <c r="Q61" s="325"/>
    </row>
    <row r="62" ht="15">
      <c r="Q62" s="325"/>
    </row>
    <row r="63" ht="15">
      <c r="Q63" s="325"/>
    </row>
    <row r="64" ht="15">
      <c r="Q64" s="325"/>
    </row>
    <row r="65" ht="15">
      <c r="Q65" s="325"/>
    </row>
    <row r="66" ht="15">
      <c r="Q66" s="325"/>
    </row>
    <row r="67" ht="15">
      <c r="Q67" s="325"/>
    </row>
    <row r="68" ht="15">
      <c r="Q68" s="325"/>
    </row>
    <row r="69" ht="15">
      <c r="Q69" s="325"/>
    </row>
    <row r="70" ht="15">
      <c r="Q70" s="325"/>
    </row>
    <row r="71" ht="15">
      <c r="Q71" s="325"/>
    </row>
    <row r="72" ht="15">
      <c r="Q72" s="325"/>
    </row>
    <row r="73" ht="15">
      <c r="Q73" s="325"/>
    </row>
    <row r="74" ht="15">
      <c r="Q74" s="325"/>
    </row>
    <row r="75" ht="15">
      <c r="Q75" s="325"/>
    </row>
    <row r="76" ht="15">
      <c r="Q76" s="325"/>
    </row>
    <row r="77" ht="15">
      <c r="Q77" s="325"/>
    </row>
    <row r="78" ht="15">
      <c r="Q78" s="325"/>
    </row>
    <row r="79" ht="15">
      <c r="Q79" s="325"/>
    </row>
    <row r="80" ht="15">
      <c r="Q80" s="325"/>
    </row>
    <row r="81" ht="15">
      <c r="Q81" s="325"/>
    </row>
    <row r="82" ht="15">
      <c r="Q82" s="325"/>
    </row>
    <row r="83" ht="15">
      <c r="Q83" s="325"/>
    </row>
    <row r="84" ht="15">
      <c r="Q84" s="325"/>
    </row>
    <row r="85" ht="15">
      <c r="Q85" s="325"/>
    </row>
    <row r="86" ht="15">
      <c r="Q86" s="325"/>
    </row>
    <row r="87" ht="15">
      <c r="Q87" s="325"/>
    </row>
    <row r="88" ht="15">
      <c r="Q88" s="325"/>
    </row>
    <row r="89" ht="15">
      <c r="Q89" s="325"/>
    </row>
    <row r="90" ht="15">
      <c r="Q90" s="325"/>
    </row>
    <row r="91" ht="15">
      <c r="Q91" s="325"/>
    </row>
    <row r="92" ht="15">
      <c r="Q92" s="325"/>
    </row>
    <row r="93" ht="15">
      <c r="Q93" s="325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O13" sqref="O13"/>
    </sheetView>
  </sheetViews>
  <sheetFormatPr defaultColWidth="11.19921875" defaultRowHeight="15"/>
  <cols>
    <col min="1" max="1" width="9" style="101" hidden="1" customWidth="1"/>
    <col min="2" max="2" width="7.796875" style="0" hidden="1" customWidth="1"/>
    <col min="3" max="3" width="9" style="101" hidden="1" customWidth="1"/>
    <col min="4" max="4" width="9" style="0" hidden="1" customWidth="1"/>
    <col min="5" max="5" width="9" style="101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01" t="s">
        <v>1271</v>
      </c>
    </row>
    <row r="2" spans="1:10" ht="15.75" thickBot="1">
      <c r="A2" s="112">
        <v>36341</v>
      </c>
      <c r="B2" s="117" t="s">
        <v>1267</v>
      </c>
      <c r="C2" s="113">
        <v>36372</v>
      </c>
      <c r="D2" s="117" t="s">
        <v>1267</v>
      </c>
      <c r="E2" s="113" t="s">
        <v>1270</v>
      </c>
      <c r="F2" s="120" t="s">
        <v>1267</v>
      </c>
      <c r="G2" s="113">
        <v>36433</v>
      </c>
      <c r="H2" s="117" t="s">
        <v>1267</v>
      </c>
      <c r="I2" s="113">
        <v>36464</v>
      </c>
      <c r="J2" s="117" t="s">
        <v>1267</v>
      </c>
    </row>
    <row r="3" spans="1:10" ht="15">
      <c r="A3" s="114">
        <v>1</v>
      </c>
      <c r="B3" s="118">
        <v>2.77</v>
      </c>
      <c r="C3" s="116">
        <v>1</v>
      </c>
      <c r="D3" s="118">
        <v>2.96</v>
      </c>
      <c r="E3" s="116">
        <v>1</v>
      </c>
      <c r="F3" s="121">
        <v>2.98</v>
      </c>
      <c r="G3" s="116">
        <v>1</v>
      </c>
      <c r="H3" s="118">
        <v>2.92</v>
      </c>
      <c r="I3" s="116">
        <v>1</v>
      </c>
      <c r="J3" s="118"/>
    </row>
    <row r="4" spans="1:10" ht="15">
      <c r="A4" s="115">
        <v>2</v>
      </c>
      <c r="B4" s="119">
        <v>2.77</v>
      </c>
      <c r="C4" s="104">
        <v>2</v>
      </c>
      <c r="D4" s="119"/>
      <c r="E4" s="104">
        <v>2</v>
      </c>
      <c r="F4" s="122">
        <v>2.99</v>
      </c>
      <c r="G4" s="104">
        <v>2</v>
      </c>
      <c r="H4" s="119">
        <v>2.92</v>
      </c>
      <c r="I4" s="104">
        <v>2</v>
      </c>
      <c r="J4" s="119"/>
    </row>
    <row r="5" spans="1:10" ht="15">
      <c r="A5" s="115">
        <v>3</v>
      </c>
      <c r="B5" s="119">
        <v>2.77</v>
      </c>
      <c r="C5" s="104">
        <v>3</v>
      </c>
      <c r="D5" s="119"/>
      <c r="E5" s="104">
        <v>3</v>
      </c>
      <c r="F5" s="122">
        <v>2.99</v>
      </c>
      <c r="G5" s="104">
        <v>3</v>
      </c>
      <c r="H5" s="119">
        <v>2.91</v>
      </c>
      <c r="I5" s="104">
        <v>3</v>
      </c>
      <c r="J5" s="119">
        <v>2.86</v>
      </c>
    </row>
    <row r="6" spans="1:10" ht="15">
      <c r="A6" s="115">
        <v>4</v>
      </c>
      <c r="B6" s="119">
        <v>2.77</v>
      </c>
      <c r="C6" s="104">
        <v>4</v>
      </c>
      <c r="D6" s="119">
        <v>2.98</v>
      </c>
      <c r="E6" s="104">
        <v>4</v>
      </c>
      <c r="F6" s="122">
        <v>2.98</v>
      </c>
      <c r="G6" s="104">
        <v>4</v>
      </c>
      <c r="H6" s="119"/>
      <c r="I6" s="104">
        <v>4</v>
      </c>
      <c r="J6" s="119">
        <v>2.87</v>
      </c>
    </row>
    <row r="7" spans="1:10" ht="15">
      <c r="A7" s="115">
        <v>5</v>
      </c>
      <c r="B7" s="119"/>
      <c r="C7" s="104">
        <v>5</v>
      </c>
      <c r="D7" s="119">
        <v>2.95</v>
      </c>
      <c r="E7" s="104">
        <v>5</v>
      </c>
      <c r="F7" s="122">
        <v>2.94</v>
      </c>
      <c r="G7" s="104">
        <v>5</v>
      </c>
      <c r="H7" s="119"/>
      <c r="I7" s="104">
        <v>5</v>
      </c>
      <c r="J7" s="119">
        <v>2.87</v>
      </c>
    </row>
    <row r="8" spans="1:10" ht="15">
      <c r="A8" s="115">
        <v>6</v>
      </c>
      <c r="B8" s="119"/>
      <c r="C8" s="104">
        <v>6</v>
      </c>
      <c r="D8" s="119">
        <v>2.95</v>
      </c>
      <c r="E8" s="104">
        <v>6</v>
      </c>
      <c r="F8" s="122"/>
      <c r="G8" s="104">
        <v>6</v>
      </c>
      <c r="H8" s="119">
        <v>2.91</v>
      </c>
      <c r="I8" s="104">
        <v>6</v>
      </c>
      <c r="J8" s="119">
        <v>2.87</v>
      </c>
    </row>
    <row r="9" spans="1:10" ht="15">
      <c r="A9" s="115">
        <v>7</v>
      </c>
      <c r="B9" s="119">
        <v>2.76</v>
      </c>
      <c r="C9" s="104">
        <v>7</v>
      </c>
      <c r="D9" s="119">
        <v>2.95</v>
      </c>
      <c r="E9" s="104">
        <v>7</v>
      </c>
      <c r="F9" s="122"/>
      <c r="G9" s="104">
        <v>7</v>
      </c>
      <c r="H9" s="119">
        <v>2.89</v>
      </c>
      <c r="I9" s="104">
        <v>7</v>
      </c>
      <c r="J9" s="119">
        <v>2.86</v>
      </c>
    </row>
    <row r="10" spans="1:10" ht="15">
      <c r="A10" s="115">
        <v>8</v>
      </c>
      <c r="B10" s="119">
        <v>2.76</v>
      </c>
      <c r="C10" s="104">
        <v>8</v>
      </c>
      <c r="D10" s="119">
        <v>2.94</v>
      </c>
      <c r="E10" s="104">
        <v>8</v>
      </c>
      <c r="F10" s="122">
        <v>2.96</v>
      </c>
      <c r="G10" s="104">
        <v>8</v>
      </c>
      <c r="H10" s="119">
        <v>2.88</v>
      </c>
      <c r="I10" s="104">
        <v>8</v>
      </c>
      <c r="J10" s="119"/>
    </row>
    <row r="11" spans="1:10" ht="15">
      <c r="A11" s="115">
        <v>9</v>
      </c>
      <c r="B11" s="119">
        <v>2.76</v>
      </c>
      <c r="C11" s="104">
        <v>9</v>
      </c>
      <c r="D11" s="119"/>
      <c r="E11" s="104">
        <v>9</v>
      </c>
      <c r="F11" s="122">
        <v>2.96</v>
      </c>
      <c r="G11" s="104">
        <v>9</v>
      </c>
      <c r="H11" s="119">
        <v>2.86</v>
      </c>
      <c r="I11" s="104">
        <v>9</v>
      </c>
      <c r="J11" s="119"/>
    </row>
    <row r="12" spans="1:10" ht="15">
      <c r="A12" s="115">
        <v>10</v>
      </c>
      <c r="B12" s="119">
        <v>2.74</v>
      </c>
      <c r="C12" s="104">
        <v>10</v>
      </c>
      <c r="D12" s="119"/>
      <c r="E12" s="104">
        <v>10</v>
      </c>
      <c r="F12" s="122">
        <v>2.96</v>
      </c>
      <c r="G12" s="104">
        <v>10</v>
      </c>
      <c r="H12" s="119">
        <v>2.86</v>
      </c>
      <c r="I12" s="104">
        <v>10</v>
      </c>
      <c r="J12" s="119">
        <v>2.86</v>
      </c>
    </row>
    <row r="13" spans="1:10" ht="15">
      <c r="A13" s="115">
        <v>11</v>
      </c>
      <c r="B13" s="119">
        <v>2.75</v>
      </c>
      <c r="C13" s="104">
        <v>11</v>
      </c>
      <c r="D13" s="119">
        <v>2.93</v>
      </c>
      <c r="E13" s="104">
        <v>11</v>
      </c>
      <c r="F13" s="122">
        <v>2.92</v>
      </c>
      <c r="G13" s="104">
        <v>11</v>
      </c>
      <c r="H13" s="119"/>
      <c r="I13" s="104">
        <v>11</v>
      </c>
      <c r="J13" s="119">
        <v>2.87</v>
      </c>
    </row>
    <row r="14" spans="1:10" ht="15">
      <c r="A14" s="115">
        <v>12</v>
      </c>
      <c r="B14" s="119"/>
      <c r="C14" s="104">
        <v>12</v>
      </c>
      <c r="D14" s="119">
        <v>2.92</v>
      </c>
      <c r="E14" s="104">
        <v>12</v>
      </c>
      <c r="F14" s="122">
        <v>2.92</v>
      </c>
      <c r="G14" s="104">
        <v>12</v>
      </c>
      <c r="H14" s="119"/>
      <c r="I14" s="104">
        <v>12</v>
      </c>
      <c r="J14" s="119">
        <v>2.87</v>
      </c>
    </row>
    <row r="15" spans="1:10" ht="15">
      <c r="A15" s="115">
        <v>13</v>
      </c>
      <c r="B15" s="119"/>
      <c r="C15" s="104">
        <v>13</v>
      </c>
      <c r="D15" s="119">
        <v>2.91</v>
      </c>
      <c r="E15" s="104">
        <v>13</v>
      </c>
      <c r="F15" s="122"/>
      <c r="G15" s="104">
        <v>13</v>
      </c>
      <c r="H15" s="119"/>
      <c r="I15" s="104">
        <v>13</v>
      </c>
      <c r="J15" s="119">
        <v>2.86</v>
      </c>
    </row>
    <row r="16" spans="1:10" ht="15">
      <c r="A16" s="115">
        <v>14</v>
      </c>
      <c r="B16" s="119">
        <v>2.75</v>
      </c>
      <c r="C16" s="104">
        <v>14</v>
      </c>
      <c r="D16" s="119">
        <v>2.92</v>
      </c>
      <c r="E16" s="104">
        <v>14</v>
      </c>
      <c r="F16" s="122"/>
      <c r="G16" s="104">
        <v>14</v>
      </c>
      <c r="H16" s="119">
        <v>2.86</v>
      </c>
      <c r="I16" s="104">
        <v>14</v>
      </c>
      <c r="J16" s="119">
        <v>2.88</v>
      </c>
    </row>
    <row r="17" spans="1:10" ht="15">
      <c r="A17" s="115">
        <v>15</v>
      </c>
      <c r="B17" s="119">
        <v>2.75</v>
      </c>
      <c r="C17" s="104">
        <v>15</v>
      </c>
      <c r="D17" s="119">
        <v>2.91</v>
      </c>
      <c r="E17" s="104">
        <v>15</v>
      </c>
      <c r="F17" s="122">
        <v>2.91</v>
      </c>
      <c r="G17" s="104">
        <v>15</v>
      </c>
      <c r="H17" s="119">
        <v>2.86</v>
      </c>
      <c r="I17" s="104">
        <v>15</v>
      </c>
      <c r="J17" s="119"/>
    </row>
    <row r="18" spans="1:10" ht="15">
      <c r="A18" s="115">
        <v>16</v>
      </c>
      <c r="B18" s="119">
        <v>2.76</v>
      </c>
      <c r="C18" s="104">
        <v>16</v>
      </c>
      <c r="D18" s="119"/>
      <c r="E18" s="104">
        <v>16</v>
      </c>
      <c r="F18" s="122">
        <v>2.91</v>
      </c>
      <c r="G18" s="104">
        <v>16</v>
      </c>
      <c r="H18" s="119">
        <v>2.86</v>
      </c>
      <c r="I18" s="104">
        <v>16</v>
      </c>
      <c r="J18" s="119"/>
    </row>
    <row r="19" spans="1:10" ht="15">
      <c r="A19" s="115">
        <v>17</v>
      </c>
      <c r="B19" s="119">
        <v>2.77</v>
      </c>
      <c r="C19" s="104">
        <v>17</v>
      </c>
      <c r="D19" s="119"/>
      <c r="E19" s="104">
        <v>17</v>
      </c>
      <c r="F19" s="122">
        <v>2.93</v>
      </c>
      <c r="G19" s="104">
        <v>17</v>
      </c>
      <c r="H19" s="119">
        <v>2.86</v>
      </c>
      <c r="I19" s="104">
        <v>17</v>
      </c>
      <c r="J19" s="119">
        <v>2.88</v>
      </c>
    </row>
    <row r="20" spans="1:10" ht="15">
      <c r="A20" s="115">
        <v>18</v>
      </c>
      <c r="B20" s="119">
        <v>2.78</v>
      </c>
      <c r="C20" s="104">
        <v>18</v>
      </c>
      <c r="D20" s="119">
        <v>2.91</v>
      </c>
      <c r="E20" s="104">
        <v>18</v>
      </c>
      <c r="F20" s="122">
        <v>2.93</v>
      </c>
      <c r="G20" s="104">
        <v>18</v>
      </c>
      <c r="H20" s="119"/>
      <c r="I20" s="104">
        <v>18</v>
      </c>
      <c r="J20" s="119">
        <v>2.87</v>
      </c>
    </row>
    <row r="21" spans="1:10" ht="15">
      <c r="A21" s="115">
        <v>19</v>
      </c>
      <c r="B21" s="119"/>
      <c r="C21" s="104">
        <v>19</v>
      </c>
      <c r="D21" s="119">
        <v>2.92</v>
      </c>
      <c r="E21" s="104">
        <v>19</v>
      </c>
      <c r="F21" s="122">
        <v>2.93</v>
      </c>
      <c r="G21" s="104">
        <v>19</v>
      </c>
      <c r="H21" s="119"/>
      <c r="I21" s="104">
        <v>19</v>
      </c>
      <c r="J21" s="119">
        <v>2.89</v>
      </c>
    </row>
    <row r="22" spans="1:10" ht="15">
      <c r="A22" s="115">
        <v>20</v>
      </c>
      <c r="B22" s="119"/>
      <c r="C22" s="104">
        <v>20</v>
      </c>
      <c r="D22" s="119">
        <v>2.93</v>
      </c>
      <c r="E22" s="104">
        <v>20</v>
      </c>
      <c r="F22" s="122"/>
      <c r="G22" s="104">
        <v>20</v>
      </c>
      <c r="H22" s="119">
        <v>2.86</v>
      </c>
      <c r="I22" s="104">
        <v>20</v>
      </c>
      <c r="J22" s="119">
        <v>2.89</v>
      </c>
    </row>
    <row r="23" spans="1:10" ht="15">
      <c r="A23" s="115">
        <v>21</v>
      </c>
      <c r="B23" s="119">
        <v>2.77</v>
      </c>
      <c r="C23" s="104">
        <v>21</v>
      </c>
      <c r="D23" s="119">
        <v>2.97</v>
      </c>
      <c r="E23" s="104">
        <v>21</v>
      </c>
      <c r="F23" s="122"/>
      <c r="G23" s="104">
        <v>21</v>
      </c>
      <c r="H23" s="119">
        <v>2.87</v>
      </c>
      <c r="I23" s="104">
        <v>21</v>
      </c>
      <c r="J23" s="119">
        <v>2.9</v>
      </c>
    </row>
    <row r="24" spans="1:10" ht="15">
      <c r="A24" s="115">
        <v>22</v>
      </c>
      <c r="B24" s="119">
        <v>2.76</v>
      </c>
      <c r="C24" s="104">
        <v>22</v>
      </c>
      <c r="D24" s="119">
        <v>2.97</v>
      </c>
      <c r="E24" s="104">
        <v>22</v>
      </c>
      <c r="F24" s="122">
        <v>2.92</v>
      </c>
      <c r="G24" s="104">
        <v>22</v>
      </c>
      <c r="H24" s="119">
        <v>2.86</v>
      </c>
      <c r="I24" s="104">
        <v>22</v>
      </c>
      <c r="J24" s="119"/>
    </row>
    <row r="25" spans="1:10" ht="15">
      <c r="A25" s="115">
        <v>23</v>
      </c>
      <c r="B25" s="119">
        <v>2.76</v>
      </c>
      <c r="C25" s="104">
        <v>23</v>
      </c>
      <c r="D25" s="119"/>
      <c r="E25" s="104">
        <v>23</v>
      </c>
      <c r="F25" s="122">
        <v>2.92</v>
      </c>
      <c r="G25" s="104">
        <v>23</v>
      </c>
      <c r="H25" s="119">
        <v>2.86</v>
      </c>
      <c r="I25" s="104">
        <v>23</v>
      </c>
      <c r="J25" s="119"/>
    </row>
    <row r="26" spans="1:10" ht="15">
      <c r="A26" s="115">
        <v>24</v>
      </c>
      <c r="B26" s="119">
        <v>2.78</v>
      </c>
      <c r="C26" s="104">
        <v>24</v>
      </c>
      <c r="D26" s="119"/>
      <c r="E26" s="104">
        <v>24</v>
      </c>
      <c r="F26" s="122">
        <v>2.92</v>
      </c>
      <c r="G26" s="104">
        <v>24</v>
      </c>
      <c r="H26" s="119">
        <v>2.86</v>
      </c>
      <c r="I26" s="104">
        <v>24</v>
      </c>
      <c r="J26" s="119">
        <v>2.9</v>
      </c>
    </row>
    <row r="27" spans="1:10" ht="15">
      <c r="A27" s="115">
        <v>25</v>
      </c>
      <c r="B27" s="119">
        <v>2.79</v>
      </c>
      <c r="C27" s="104">
        <v>25</v>
      </c>
      <c r="D27" s="119">
        <v>2.94</v>
      </c>
      <c r="E27" s="104">
        <v>25</v>
      </c>
      <c r="F27" s="122">
        <v>2.91</v>
      </c>
      <c r="G27" s="104">
        <v>25</v>
      </c>
      <c r="H27" s="119"/>
      <c r="I27" s="104">
        <v>25</v>
      </c>
      <c r="J27" s="119">
        <v>2.93</v>
      </c>
    </row>
    <row r="28" spans="1:10" ht="15">
      <c r="A28" s="115">
        <v>26</v>
      </c>
      <c r="B28" s="119"/>
      <c r="C28" s="104">
        <v>26</v>
      </c>
      <c r="D28" s="119">
        <v>2.96</v>
      </c>
      <c r="E28" s="104">
        <v>26</v>
      </c>
      <c r="F28" s="122">
        <v>2.92</v>
      </c>
      <c r="G28" s="104">
        <v>26</v>
      </c>
      <c r="H28" s="119"/>
      <c r="I28" s="104">
        <v>26</v>
      </c>
      <c r="J28" s="119">
        <v>2.98</v>
      </c>
    </row>
    <row r="29" spans="1:10" ht="15">
      <c r="A29" s="115">
        <v>27</v>
      </c>
      <c r="B29" s="119"/>
      <c r="C29" s="104">
        <v>27</v>
      </c>
      <c r="D29" s="119">
        <v>2.98</v>
      </c>
      <c r="E29" s="104">
        <v>27</v>
      </c>
      <c r="F29" s="122"/>
      <c r="G29" s="104">
        <v>27</v>
      </c>
      <c r="H29" s="119">
        <v>2.85</v>
      </c>
      <c r="I29" s="104">
        <v>27</v>
      </c>
      <c r="J29" s="119">
        <v>2.97</v>
      </c>
    </row>
    <row r="30" spans="1:10" ht="15">
      <c r="A30" s="115">
        <v>28</v>
      </c>
      <c r="B30" s="119">
        <v>2.81</v>
      </c>
      <c r="C30" s="104">
        <v>28</v>
      </c>
      <c r="D30" s="119">
        <v>2.97</v>
      </c>
      <c r="E30" s="104">
        <v>28</v>
      </c>
      <c r="F30" s="122"/>
      <c r="G30" s="104">
        <v>28</v>
      </c>
      <c r="H30" s="119">
        <v>2.87</v>
      </c>
      <c r="I30" s="104">
        <v>28</v>
      </c>
      <c r="J30" s="119">
        <v>2.99</v>
      </c>
    </row>
    <row r="31" spans="1:10" ht="15">
      <c r="A31" s="115">
        <v>29</v>
      </c>
      <c r="B31" s="119">
        <v>2.82</v>
      </c>
      <c r="C31" s="104">
        <v>29</v>
      </c>
      <c r="D31" s="119">
        <v>2.97</v>
      </c>
      <c r="E31" s="104">
        <v>29</v>
      </c>
      <c r="F31" s="122">
        <v>2.92</v>
      </c>
      <c r="G31" s="104">
        <v>29</v>
      </c>
      <c r="H31" s="119">
        <v>2.87</v>
      </c>
      <c r="I31" s="104">
        <v>29</v>
      </c>
      <c r="J31" s="119"/>
    </row>
    <row r="32" spans="1:10" ht="15">
      <c r="A32" s="115">
        <v>30</v>
      </c>
      <c r="B32" s="119">
        <v>2.87</v>
      </c>
      <c r="C32" s="104">
        <v>30</v>
      </c>
      <c r="D32" s="119"/>
      <c r="E32" s="104">
        <v>30</v>
      </c>
      <c r="F32" s="122">
        <v>2.93</v>
      </c>
      <c r="G32" s="104">
        <v>30</v>
      </c>
      <c r="H32" s="119">
        <v>2.87</v>
      </c>
      <c r="I32" s="104">
        <v>30</v>
      </c>
      <c r="J32" s="119"/>
    </row>
    <row r="33" spans="1:10" ht="15.75" thickBot="1">
      <c r="A33" s="123">
        <v>31</v>
      </c>
      <c r="B33" s="124">
        <v>2.9</v>
      </c>
      <c r="C33" s="125">
        <v>31</v>
      </c>
      <c r="D33" s="124"/>
      <c r="E33" s="125"/>
      <c r="F33" s="126"/>
      <c r="G33" s="125">
        <v>31</v>
      </c>
      <c r="H33" s="124">
        <v>2.88</v>
      </c>
      <c r="I33" s="125">
        <v>31</v>
      </c>
      <c r="J33" s="124"/>
    </row>
    <row r="34" spans="1:10" ht="15.75" thickBot="1">
      <c r="A34" s="127" t="s">
        <v>1268</v>
      </c>
      <c r="B34" s="128">
        <f>AVERAGE(B3:B33)</f>
        <v>2.779130434782609</v>
      </c>
      <c r="C34" s="129" t="s">
        <v>1268</v>
      </c>
      <c r="D34" s="128">
        <f>AVERAGE(D3:D33)</f>
        <v>2.944761904761904</v>
      </c>
      <c r="E34" s="129" t="s">
        <v>1268</v>
      </c>
      <c r="F34" s="130">
        <f>AVERAGE(F3:F32)</f>
        <v>2.9386363636363644</v>
      </c>
      <c r="G34" s="129" t="s">
        <v>1268</v>
      </c>
      <c r="H34" s="128">
        <f>AVERAGE(H3:H33)</f>
        <v>2.874545454545454</v>
      </c>
      <c r="I34" s="129" t="s">
        <v>1268</v>
      </c>
      <c r="J34" s="128">
        <f>AVERAGE(J3:J33)</f>
        <v>2.8935</v>
      </c>
    </row>
    <row r="39" spans="1:5" ht="15">
      <c r="A39" t="s">
        <v>1269</v>
      </c>
      <c r="B39" s="101" t="s">
        <v>1289</v>
      </c>
      <c r="C39" s="101" t="s">
        <v>1288</v>
      </c>
      <c r="D39" s="101" t="s">
        <v>1287</v>
      </c>
      <c r="E39" s="101" t="s">
        <v>1290</v>
      </c>
    </row>
    <row r="40" spans="1:5" ht="15">
      <c r="A40" s="98">
        <f>B34</f>
        <v>2.779130434782609</v>
      </c>
      <c r="B40" s="98">
        <f>D34</f>
        <v>2.944761904761904</v>
      </c>
      <c r="C40" s="98">
        <f>F34</f>
        <v>2.9386363636363644</v>
      </c>
      <c r="D40" s="98">
        <f>H34</f>
        <v>2.874545454545454</v>
      </c>
      <c r="E40" s="135">
        <f>J34</f>
        <v>2.8935</v>
      </c>
    </row>
    <row r="41" spans="1:5" ht="15">
      <c r="A41"/>
      <c r="B41" s="132">
        <f>B40/A40</f>
        <v>1.0595983074080693</v>
      </c>
      <c r="C41" s="132">
        <f>C40/A40</f>
        <v>1.057394185914211</v>
      </c>
      <c r="D41">
        <f>D40/A40</f>
        <v>1.0343326885880075</v>
      </c>
      <c r="E41" s="101">
        <f>E40/A40</f>
        <v>1.0411530037546932</v>
      </c>
    </row>
    <row r="42" spans="4:5" ht="15">
      <c r="D42">
        <v>1.0343326885880075</v>
      </c>
      <c r="E42" s="101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zoomScalePageLayoutView="0" workbookViewId="0" topLeftCell="A2">
      <selection activeCell="I24" sqref="I24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07" t="s">
        <v>343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21.75" customHeight="1">
      <c r="A2" s="413" t="s">
        <v>125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275</v>
      </c>
      <c r="Q3" s="16" t="str">
        <f>Fecha</f>
        <v>NOV/12</v>
      </c>
    </row>
    <row r="4" spans="1:22" ht="12.75" customHeight="1" thickBot="1">
      <c r="A4" s="410" t="s">
        <v>143</v>
      </c>
      <c r="B4" s="421" t="s">
        <v>126</v>
      </c>
      <c r="C4" s="421" t="s">
        <v>127</v>
      </c>
      <c r="D4" s="421" t="s">
        <v>128</v>
      </c>
      <c r="E4" s="421" t="s">
        <v>129</v>
      </c>
      <c r="F4" s="421" t="s">
        <v>130</v>
      </c>
      <c r="G4" s="421" t="s">
        <v>131</v>
      </c>
      <c r="H4" s="416" t="s">
        <v>132</v>
      </c>
      <c r="I4" s="417"/>
      <c r="J4" s="416" t="s">
        <v>133</v>
      </c>
      <c r="K4" s="417"/>
      <c r="L4" s="418" t="s">
        <v>134</v>
      </c>
      <c r="M4" s="419"/>
      <c r="N4" s="419"/>
      <c r="O4" s="419"/>
      <c r="P4" s="420"/>
      <c r="Q4" s="414" t="s">
        <v>135</v>
      </c>
      <c r="V4" s="21" t="s">
        <v>243</v>
      </c>
    </row>
    <row r="5" spans="1:23" ht="29.25" customHeight="1">
      <c r="A5" s="411"/>
      <c r="B5" s="425"/>
      <c r="C5" s="422"/>
      <c r="D5" s="422"/>
      <c r="E5" s="422"/>
      <c r="F5" s="422"/>
      <c r="G5" s="422"/>
      <c r="H5" s="37" t="s">
        <v>171</v>
      </c>
      <c r="I5" s="37" t="s">
        <v>136</v>
      </c>
      <c r="J5" s="37" t="s">
        <v>172</v>
      </c>
      <c r="K5" s="37" t="s">
        <v>137</v>
      </c>
      <c r="L5" s="37" t="s">
        <v>138</v>
      </c>
      <c r="M5" s="38" t="s">
        <v>139</v>
      </c>
      <c r="N5" s="38" t="s">
        <v>140</v>
      </c>
      <c r="O5" s="38" t="s">
        <v>141</v>
      </c>
      <c r="P5" s="38" t="s">
        <v>142</v>
      </c>
      <c r="Q5" s="415"/>
      <c r="V5" s="423" t="s">
        <v>244</v>
      </c>
      <c r="W5" s="22" t="s">
        <v>128</v>
      </c>
    </row>
    <row r="6" spans="1:23" ht="15" customHeight="1" thickBot="1">
      <c r="A6" s="412"/>
      <c r="B6" s="426"/>
      <c r="C6" s="39" t="s">
        <v>5</v>
      </c>
      <c r="D6" s="39" t="s">
        <v>173</v>
      </c>
      <c r="E6" s="39" t="s">
        <v>174</v>
      </c>
      <c r="F6" s="39" t="s">
        <v>5</v>
      </c>
      <c r="G6" s="39" t="s">
        <v>1953</v>
      </c>
      <c r="H6" s="39" t="s">
        <v>1963</v>
      </c>
      <c r="I6" s="39" t="s">
        <v>1963</v>
      </c>
      <c r="J6" s="39" t="s">
        <v>175</v>
      </c>
      <c r="K6" s="39" t="s">
        <v>175</v>
      </c>
      <c r="L6" s="39" t="s">
        <v>175</v>
      </c>
      <c r="M6" s="39" t="s">
        <v>175</v>
      </c>
      <c r="N6" s="39" t="s">
        <v>175</v>
      </c>
      <c r="O6" s="39" t="s">
        <v>175</v>
      </c>
      <c r="P6" s="39" t="s">
        <v>175</v>
      </c>
      <c r="Q6" s="40" t="s">
        <v>175</v>
      </c>
      <c r="V6" s="424"/>
      <c r="W6" s="23" t="s">
        <v>1963</v>
      </c>
    </row>
    <row r="7" spans="1:23" ht="15.75" customHeight="1" thickBot="1" thickTop="1">
      <c r="A7" s="294" t="s">
        <v>1958</v>
      </c>
      <c r="B7" s="295" t="s">
        <v>1578</v>
      </c>
      <c r="C7" s="295">
        <f>VLOOKUP(A7,'IN-12-11'!A6:D880,4,FALSE)</f>
        <v>650323.3042</v>
      </c>
      <c r="D7" s="296">
        <v>10000</v>
      </c>
      <c r="E7" s="297">
        <v>87</v>
      </c>
      <c r="F7" s="297">
        <f>VLOOKUP(A30,'IN-12-11'!A112:D112,4)</f>
        <v>4.98</v>
      </c>
      <c r="G7" s="298">
        <v>0.122</v>
      </c>
      <c r="H7" s="299">
        <f>VLOOKUP(A21,A21:D28,4,FALSE)</f>
        <v>50.45</v>
      </c>
      <c r="I7" s="299">
        <f>VLOOKUP(A24,A21:D28,4)</f>
        <v>36.36</v>
      </c>
      <c r="J7" s="300">
        <f>(C7*0.5)/D7</f>
        <v>32.516165210000004</v>
      </c>
      <c r="K7" s="301">
        <f>C7*G7*(((D7/2000)+1)/(2*D7/2000))/2000</f>
        <v>23.801832933719997</v>
      </c>
      <c r="L7" s="301">
        <f>ROUND(0.02*C7,2)/2000</f>
        <v>6.503235</v>
      </c>
      <c r="M7" s="302">
        <f>+E7*F7*0.15</f>
        <v>64.989</v>
      </c>
      <c r="N7" s="302">
        <f>0.3*M7</f>
        <v>19.4967</v>
      </c>
      <c r="O7" s="302">
        <f>0.6*J7</f>
        <v>19.509699126</v>
      </c>
      <c r="P7" s="302">
        <f>H7+I7</f>
        <v>86.81</v>
      </c>
      <c r="Q7" s="303">
        <f>SUM(J7:P7)</f>
        <v>253.62663226972</v>
      </c>
      <c r="R7" s="292">
        <v>68.951788878</v>
      </c>
      <c r="V7" s="24" t="s">
        <v>245</v>
      </c>
      <c r="W7" s="27">
        <v>10000</v>
      </c>
    </row>
    <row r="8" spans="1:23" ht="15.75" customHeight="1" thickBot="1" thickTop="1">
      <c r="A8" s="304" t="s">
        <v>2052</v>
      </c>
      <c r="B8" s="305" t="s">
        <v>1579</v>
      </c>
      <c r="C8" s="295">
        <f>VLOOKUP(A8,'IN-12-11'!A7:D881,4,FALSE)</f>
        <v>966640.1238</v>
      </c>
      <c r="D8" s="306">
        <v>10000</v>
      </c>
      <c r="E8" s="307">
        <v>180</v>
      </c>
      <c r="F8" s="297">
        <f>VLOOKUP(A30,'IN-12-11'!A112:D112,4)</f>
        <v>4.98</v>
      </c>
      <c r="G8" s="308">
        <v>0.122</v>
      </c>
      <c r="H8" s="299">
        <f>VLOOKUP(A21,A21:D28,4,FALSE)</f>
        <v>50.45</v>
      </c>
      <c r="I8" s="299">
        <f>VLOOKUP(A24,A21:D28,4)</f>
        <v>36.36</v>
      </c>
      <c r="J8" s="300">
        <f aca="true" t="shared" si="0" ref="J8:J18">(C8*0.5)/D8</f>
        <v>48.332006189999994</v>
      </c>
      <c r="K8" s="301">
        <f aca="true" t="shared" si="1" ref="K8:K18">C8*G8*(((D8/2000)+1)/(2*D8/2000))/2000</f>
        <v>35.379028531079996</v>
      </c>
      <c r="L8" s="301">
        <f aca="true" t="shared" si="2" ref="L8:L18">ROUND(0.02*C8,2)/2000</f>
        <v>9.6664</v>
      </c>
      <c r="M8" s="302">
        <f aca="true" t="shared" si="3" ref="M8:M18">+E8*F8*0.15</f>
        <v>134.46</v>
      </c>
      <c r="N8" s="302">
        <f aca="true" t="shared" si="4" ref="N8:N18">0.3*M8</f>
        <v>40.338</v>
      </c>
      <c r="O8" s="302">
        <f aca="true" t="shared" si="5" ref="O8:O18">0.6*J8</f>
        <v>28.999203713999997</v>
      </c>
      <c r="P8" s="302">
        <f aca="true" t="shared" si="6" ref="P8:P18">H8+I8</f>
        <v>86.81</v>
      </c>
      <c r="Q8" s="303">
        <f aca="true" t="shared" si="7" ref="Q8:Q18">SUM(J8:P8)</f>
        <v>383.98463843508</v>
      </c>
      <c r="R8" s="292">
        <v>65.07452022860001</v>
      </c>
      <c r="V8" s="25" t="s">
        <v>246</v>
      </c>
      <c r="W8" s="28">
        <v>12000</v>
      </c>
    </row>
    <row r="9" spans="1:23" ht="15.75" customHeight="1" thickBot="1" thickTop="1">
      <c r="A9" s="304" t="s">
        <v>1876</v>
      </c>
      <c r="B9" s="305" t="s">
        <v>1580</v>
      </c>
      <c r="C9" s="295">
        <f>VLOOKUP(A9,'IN-12-11'!A8:D882,4,FALSE)</f>
        <v>688802.58</v>
      </c>
      <c r="D9" s="306">
        <v>10000</v>
      </c>
      <c r="E9" s="307">
        <v>140</v>
      </c>
      <c r="F9" s="297">
        <f>VLOOKUP(A30,'IN-12-11'!A112:D112,4)</f>
        <v>4.98</v>
      </c>
      <c r="G9" s="308">
        <v>0.122</v>
      </c>
      <c r="H9" s="299">
        <f>VLOOKUP(A21,A21:D28,4,FALSE)</f>
        <v>50.45</v>
      </c>
      <c r="I9" s="299">
        <f>VLOOKUP(A24,A21:D28,4)</f>
        <v>36.36</v>
      </c>
      <c r="J9" s="300">
        <f t="shared" si="0"/>
        <v>34.440129</v>
      </c>
      <c r="K9" s="301">
        <f t="shared" si="1"/>
        <v>25.210174428</v>
      </c>
      <c r="L9" s="301">
        <f t="shared" si="2"/>
        <v>6.888025</v>
      </c>
      <c r="M9" s="302">
        <f t="shared" si="3"/>
        <v>104.58</v>
      </c>
      <c r="N9" s="302">
        <f t="shared" si="4"/>
        <v>31.374</v>
      </c>
      <c r="O9" s="302">
        <f t="shared" si="5"/>
        <v>20.6640774</v>
      </c>
      <c r="P9" s="302">
        <f t="shared" si="6"/>
        <v>86.81</v>
      </c>
      <c r="Q9" s="303">
        <f t="shared" si="7"/>
        <v>309.966405828</v>
      </c>
      <c r="R9" s="292">
        <v>110.6742862822</v>
      </c>
      <c r="V9" s="25" t="s">
        <v>247</v>
      </c>
      <c r="W9" s="28">
        <v>16000</v>
      </c>
    </row>
    <row r="10" spans="1:23" ht="15.75" customHeight="1" thickBot="1" thickTop="1">
      <c r="A10" s="304" t="s">
        <v>2055</v>
      </c>
      <c r="B10" s="305" t="s">
        <v>1581</v>
      </c>
      <c r="C10" s="295">
        <f>VLOOKUP(A10,'IN-12-11'!A9:D883,4,FALSE)</f>
        <v>876284.1154</v>
      </c>
      <c r="D10" s="306">
        <v>10000</v>
      </c>
      <c r="E10" s="307">
        <v>140</v>
      </c>
      <c r="F10" s="297">
        <f>VLOOKUP(A30,'IN-12-11'!A112:D112,4)</f>
        <v>4.98</v>
      </c>
      <c r="G10" s="308">
        <v>0.122</v>
      </c>
      <c r="H10" s="299">
        <f>VLOOKUP(A21,A21:D28,4,FALSE)</f>
        <v>50.45</v>
      </c>
      <c r="I10" s="309"/>
      <c r="J10" s="300">
        <f t="shared" si="0"/>
        <v>43.81420577</v>
      </c>
      <c r="K10" s="301">
        <f t="shared" si="1"/>
        <v>32.07199862364</v>
      </c>
      <c r="L10" s="301">
        <f t="shared" si="2"/>
        <v>8.76284</v>
      </c>
      <c r="M10" s="302">
        <f t="shared" si="3"/>
        <v>104.58</v>
      </c>
      <c r="N10" s="302">
        <f t="shared" si="4"/>
        <v>31.374</v>
      </c>
      <c r="O10" s="302">
        <f t="shared" si="5"/>
        <v>26.288523462</v>
      </c>
      <c r="P10" s="302">
        <f t="shared" si="6"/>
        <v>50.45</v>
      </c>
      <c r="Q10" s="303">
        <f t="shared" si="7"/>
        <v>297.34156785564</v>
      </c>
      <c r="R10" s="292">
        <v>96.26395374420001</v>
      </c>
      <c r="V10" s="25" t="s">
        <v>248</v>
      </c>
      <c r="W10" s="28">
        <v>10000</v>
      </c>
    </row>
    <row r="11" spans="1:23" ht="15.75" customHeight="1" thickBot="1" thickTop="1">
      <c r="A11" s="304" t="s">
        <v>2056</v>
      </c>
      <c r="B11" s="305" t="s">
        <v>1582</v>
      </c>
      <c r="C11" s="295">
        <f>VLOOKUP(A11,'IN-12-11'!A10:D884,4,FALSE)</f>
        <v>520594.98</v>
      </c>
      <c r="D11" s="306">
        <v>10000</v>
      </c>
      <c r="E11" s="307">
        <v>70</v>
      </c>
      <c r="F11" s="297">
        <f>VLOOKUP(A30,'IN-12-11'!A112:D112,4)</f>
        <v>4.98</v>
      </c>
      <c r="G11" s="308">
        <v>0.122</v>
      </c>
      <c r="H11" s="299">
        <f>VLOOKUP(A21,A21:D28,4,FALSE)</f>
        <v>50.45</v>
      </c>
      <c r="I11" s="309"/>
      <c r="J11" s="300">
        <f t="shared" si="0"/>
        <v>26.029749</v>
      </c>
      <c r="K11" s="301">
        <f t="shared" si="1"/>
        <v>19.053776267999996</v>
      </c>
      <c r="L11" s="301">
        <f t="shared" si="2"/>
        <v>5.20595</v>
      </c>
      <c r="M11" s="302">
        <f t="shared" si="3"/>
        <v>52.29</v>
      </c>
      <c r="N11" s="302">
        <f t="shared" si="4"/>
        <v>15.687</v>
      </c>
      <c r="O11" s="302">
        <f t="shared" si="5"/>
        <v>15.617849399999999</v>
      </c>
      <c r="P11" s="302">
        <f t="shared" si="6"/>
        <v>50.45</v>
      </c>
      <c r="Q11" s="303">
        <f t="shared" si="7"/>
        <v>184.33432466800002</v>
      </c>
      <c r="R11" s="292">
        <v>58.24635</v>
      </c>
      <c r="V11" s="25" t="s">
        <v>249</v>
      </c>
      <c r="W11" s="28">
        <v>12000</v>
      </c>
    </row>
    <row r="12" spans="1:23" ht="15.75" customHeight="1" thickBot="1" thickTop="1">
      <c r="A12" s="304" t="s">
        <v>2059</v>
      </c>
      <c r="B12" s="305" t="s">
        <v>1583</v>
      </c>
      <c r="C12" s="295">
        <f>VLOOKUP(A12,'IN-12-11'!A11:D885,4,FALSE)</f>
        <v>709529.57</v>
      </c>
      <c r="D12" s="306">
        <v>10000</v>
      </c>
      <c r="E12" s="307">
        <v>120</v>
      </c>
      <c r="F12" s="297">
        <f>VLOOKUP(A30,'IN-12-11'!A112:D112,4)</f>
        <v>4.98</v>
      </c>
      <c r="G12" s="308">
        <v>0.122</v>
      </c>
      <c r="H12" s="299">
        <f>VLOOKUP(A21,A21:D28,4,FALSE)</f>
        <v>50.45</v>
      </c>
      <c r="I12" s="309"/>
      <c r="J12" s="300">
        <f t="shared" si="0"/>
        <v>35.4764785</v>
      </c>
      <c r="K12" s="301">
        <f t="shared" si="1"/>
        <v>25.968782261999998</v>
      </c>
      <c r="L12" s="301">
        <f t="shared" si="2"/>
        <v>7.095295</v>
      </c>
      <c r="M12" s="302">
        <f t="shared" si="3"/>
        <v>89.64</v>
      </c>
      <c r="N12" s="302">
        <f t="shared" si="4"/>
        <v>26.892</v>
      </c>
      <c r="O12" s="302">
        <f t="shared" si="5"/>
        <v>21.2858871</v>
      </c>
      <c r="P12" s="302">
        <f t="shared" si="6"/>
        <v>50.45</v>
      </c>
      <c r="Q12" s="303">
        <f t="shared" si="7"/>
        <v>256.808442862</v>
      </c>
      <c r="R12" s="292">
        <v>90.90381</v>
      </c>
      <c r="V12" s="25" t="s">
        <v>250</v>
      </c>
      <c r="W12" s="28">
        <v>12000</v>
      </c>
    </row>
    <row r="13" spans="1:23" ht="15.75" customHeight="1" thickBot="1" thickTop="1">
      <c r="A13" s="304" t="s">
        <v>2061</v>
      </c>
      <c r="B13" s="305" t="s">
        <v>1584</v>
      </c>
      <c r="C13" s="295">
        <f>VLOOKUP(A13,'IN-12-11'!A12:D886,4,FALSE)</f>
        <v>986901.35</v>
      </c>
      <c r="D13" s="306">
        <v>10000</v>
      </c>
      <c r="E13" s="307">
        <v>240</v>
      </c>
      <c r="F13" s="297">
        <f>VLOOKUP(A30,'IN-12-11'!A112:D112,4)</f>
        <v>4.98</v>
      </c>
      <c r="G13" s="308">
        <v>0.122</v>
      </c>
      <c r="H13" s="299">
        <f>VLOOKUP(A21,A21:D285,4,FALSE)</f>
        <v>50.45</v>
      </c>
      <c r="I13" s="299">
        <f>VLOOKUP(A24,A21:D28,4)</f>
        <v>36.36</v>
      </c>
      <c r="J13" s="300">
        <f t="shared" si="0"/>
        <v>49.3450675</v>
      </c>
      <c r="K13" s="301">
        <f t="shared" si="1"/>
        <v>36.12058941</v>
      </c>
      <c r="L13" s="301">
        <f t="shared" si="2"/>
        <v>9.869015</v>
      </c>
      <c r="M13" s="302">
        <f t="shared" si="3"/>
        <v>179.28</v>
      </c>
      <c r="N13" s="302">
        <f t="shared" si="4"/>
        <v>53.784</v>
      </c>
      <c r="O13" s="302">
        <f t="shared" si="5"/>
        <v>29.607040499999997</v>
      </c>
      <c r="P13" s="302">
        <f t="shared" si="6"/>
        <v>86.81</v>
      </c>
      <c r="Q13" s="303">
        <f t="shared" si="7"/>
        <v>444.81571241</v>
      </c>
      <c r="R13" s="292">
        <v>106.4514</v>
      </c>
      <c r="V13" s="25" t="s">
        <v>251</v>
      </c>
      <c r="W13" s="28">
        <v>16000</v>
      </c>
    </row>
    <row r="14" spans="1:23" ht="15.75" customHeight="1" thickBot="1" thickTop="1">
      <c r="A14" s="304" t="s">
        <v>4</v>
      </c>
      <c r="B14" s="305" t="s">
        <v>1585</v>
      </c>
      <c r="C14" s="295">
        <f>VLOOKUP(A14,'IN-12-11'!A13:D887,4,FALSE)</f>
        <v>1307511.5019</v>
      </c>
      <c r="D14" s="306">
        <v>10000</v>
      </c>
      <c r="E14" s="307">
        <v>200</v>
      </c>
      <c r="F14" s="297">
        <f>VLOOKUP(A30,'IN-12-11'!A112:D112,4)</f>
        <v>4.98</v>
      </c>
      <c r="G14" s="308">
        <v>0.122</v>
      </c>
      <c r="H14" s="299">
        <f>VLOOKUP(A21,A21:D28,4,FALSE)</f>
        <v>50.45</v>
      </c>
      <c r="I14" s="309"/>
      <c r="J14" s="300">
        <f t="shared" si="0"/>
        <v>65.375575095</v>
      </c>
      <c r="K14" s="301">
        <f t="shared" si="1"/>
        <v>47.85492096954</v>
      </c>
      <c r="L14" s="301">
        <f t="shared" si="2"/>
        <v>13.075115</v>
      </c>
      <c r="M14" s="302">
        <f t="shared" si="3"/>
        <v>149.4</v>
      </c>
      <c r="N14" s="302">
        <f t="shared" si="4"/>
        <v>44.82</v>
      </c>
      <c r="O14" s="302">
        <f t="shared" si="5"/>
        <v>39.225345057</v>
      </c>
      <c r="P14" s="302">
        <f t="shared" si="6"/>
        <v>50.45</v>
      </c>
      <c r="Q14" s="303">
        <f t="shared" si="7"/>
        <v>410.20095612153995</v>
      </c>
      <c r="R14" s="292">
        <v>41.7111</v>
      </c>
      <c r="V14" s="25" t="s">
        <v>252</v>
      </c>
      <c r="W14" s="28">
        <v>14000</v>
      </c>
    </row>
    <row r="15" spans="1:23" ht="15.75" customHeight="1" thickBot="1" thickTop="1">
      <c r="A15" s="304" t="s">
        <v>368</v>
      </c>
      <c r="B15" s="305" t="s">
        <v>369</v>
      </c>
      <c r="C15" s="295">
        <f>VLOOKUP(A15,'IN-12-11'!A14:D888,4,FALSE)</f>
        <v>140487.71</v>
      </c>
      <c r="D15" s="306">
        <v>10000</v>
      </c>
      <c r="E15" s="307">
        <v>200</v>
      </c>
      <c r="F15" s="297">
        <f>VLOOKUP(A30,'IN-12-11'!A112:D112,4)</f>
        <v>4.98</v>
      </c>
      <c r="G15" s="308">
        <v>0.122</v>
      </c>
      <c r="H15" s="299">
        <f>VLOOKUP(A21,A21:D28,4,FALSE)</f>
        <v>50.45</v>
      </c>
      <c r="I15" s="309"/>
      <c r="J15" s="300">
        <f t="shared" si="0"/>
        <v>7.024385499999999</v>
      </c>
      <c r="K15" s="301">
        <f t="shared" si="1"/>
        <v>5.141850186</v>
      </c>
      <c r="L15" s="301">
        <f t="shared" si="2"/>
        <v>1.404875</v>
      </c>
      <c r="M15" s="302">
        <f t="shared" si="3"/>
        <v>149.4</v>
      </c>
      <c r="N15" s="302">
        <f t="shared" si="4"/>
        <v>44.82</v>
      </c>
      <c r="O15" s="302">
        <f t="shared" si="5"/>
        <v>4.2146313</v>
      </c>
      <c r="P15" s="302">
        <f t="shared" si="6"/>
        <v>50.45</v>
      </c>
      <c r="Q15" s="303">
        <f t="shared" si="7"/>
        <v>262.455741986</v>
      </c>
      <c r="R15" s="292">
        <v>145.223124</v>
      </c>
      <c r="V15" s="25" t="s">
        <v>253</v>
      </c>
      <c r="W15" s="28">
        <v>16000</v>
      </c>
    </row>
    <row r="16" spans="1:23" ht="15.75" customHeight="1" thickBot="1" thickTop="1">
      <c r="A16" s="304" t="s">
        <v>1091</v>
      </c>
      <c r="B16" s="305" t="s">
        <v>1586</v>
      </c>
      <c r="C16" s="295">
        <f>VLOOKUP(A16,'IN-12-11'!A15:D889,4,FALSE)</f>
        <v>892157.6</v>
      </c>
      <c r="D16" s="306">
        <v>10000</v>
      </c>
      <c r="E16" s="307">
        <v>90</v>
      </c>
      <c r="F16" s="297">
        <f>VLOOKUP(A30,'IN-12-11'!A112:D112,4)</f>
        <v>4.98</v>
      </c>
      <c r="G16" s="308">
        <v>0.122</v>
      </c>
      <c r="H16" s="299">
        <f>VLOOKUP(A21,A21:D28,4,FALSE)</f>
        <v>50.45</v>
      </c>
      <c r="I16" s="299">
        <f>VLOOKUP(A24,A21:D28,4)</f>
        <v>36.36</v>
      </c>
      <c r="J16" s="300">
        <f t="shared" si="0"/>
        <v>44.60788</v>
      </c>
      <c r="K16" s="301">
        <f t="shared" si="1"/>
        <v>32.65296815999999</v>
      </c>
      <c r="L16" s="301">
        <f t="shared" si="2"/>
        <v>8.921575</v>
      </c>
      <c r="M16" s="302">
        <f t="shared" si="3"/>
        <v>67.23</v>
      </c>
      <c r="N16" s="302">
        <f t="shared" si="4"/>
        <v>20.169</v>
      </c>
      <c r="O16" s="302">
        <f t="shared" si="5"/>
        <v>26.764728</v>
      </c>
      <c r="P16" s="302">
        <f t="shared" si="6"/>
        <v>86.81</v>
      </c>
      <c r="Q16" s="303">
        <f t="shared" si="7"/>
        <v>287.15615116000004</v>
      </c>
      <c r="R16" s="292">
        <v>57.584274</v>
      </c>
      <c r="V16" s="25" t="s">
        <v>254</v>
      </c>
      <c r="W16" s="28">
        <v>16000</v>
      </c>
    </row>
    <row r="17" spans="1:23" ht="15.75" customHeight="1" thickBot="1" thickTop="1">
      <c r="A17" s="338" t="s">
        <v>2064</v>
      </c>
      <c r="B17" s="339" t="s">
        <v>1587</v>
      </c>
      <c r="C17" s="295">
        <f>VLOOKUP(A17,'IN-12-11'!A16:D890,4,FALSE)</f>
        <v>380117.52</v>
      </c>
      <c r="D17" s="340">
        <v>10000</v>
      </c>
      <c r="E17" s="341">
        <v>60</v>
      </c>
      <c r="F17" s="297">
        <f>VLOOKUP(A30,'IN-12-11'!A112:D112,4)</f>
        <v>4.98</v>
      </c>
      <c r="G17" s="342">
        <v>0.122</v>
      </c>
      <c r="H17" s="299">
        <f>VLOOKUP(A21,A21:D28,4,FALSE)</f>
        <v>50.45</v>
      </c>
      <c r="I17" s="343"/>
      <c r="J17" s="300">
        <f t="shared" si="0"/>
        <v>19.005876</v>
      </c>
      <c r="K17" s="301">
        <f t="shared" si="1"/>
        <v>13.912301231999999</v>
      </c>
      <c r="L17" s="301">
        <f t="shared" si="2"/>
        <v>3.801175</v>
      </c>
      <c r="M17" s="302">
        <f t="shared" si="3"/>
        <v>44.82</v>
      </c>
      <c r="N17" s="302">
        <f t="shared" si="4"/>
        <v>13.446</v>
      </c>
      <c r="O17" s="302">
        <f t="shared" si="5"/>
        <v>11.4035256</v>
      </c>
      <c r="P17" s="302">
        <f t="shared" si="6"/>
        <v>50.45</v>
      </c>
      <c r="Q17" s="303">
        <f t="shared" si="7"/>
        <v>156.83887783199998</v>
      </c>
      <c r="R17" s="293"/>
      <c r="V17" s="25" t="s">
        <v>255</v>
      </c>
      <c r="W17" s="28">
        <v>10000</v>
      </c>
    </row>
    <row r="18" spans="1:23" ht="15.75" customHeight="1" thickTop="1">
      <c r="A18" s="344" t="s">
        <v>1523</v>
      </c>
      <c r="B18" s="344" t="s">
        <v>115</v>
      </c>
      <c r="C18" s="295">
        <f>VLOOKUP(A18,'IN-12-11'!A17:D891,4,FALSE)</f>
        <v>2818335</v>
      </c>
      <c r="D18" s="355">
        <v>10000</v>
      </c>
      <c r="E18" s="344">
        <v>240</v>
      </c>
      <c r="F18" s="297">
        <f>VLOOKUP(A30,'IN-12-11'!A112:D112,4)</f>
        <v>4.98</v>
      </c>
      <c r="G18" s="356">
        <v>0.122</v>
      </c>
      <c r="H18" s="299">
        <f>VLOOKUP(A21,A21:D28,4,FALSE)</f>
        <v>50.45</v>
      </c>
      <c r="I18" s="345"/>
      <c r="J18" s="300">
        <f t="shared" si="0"/>
        <v>140.91675</v>
      </c>
      <c r="K18" s="301">
        <f t="shared" si="1"/>
        <v>103.151061</v>
      </c>
      <c r="L18" s="301">
        <f t="shared" si="2"/>
        <v>28.183349999999997</v>
      </c>
      <c r="M18" s="302">
        <f t="shared" si="3"/>
        <v>179.28</v>
      </c>
      <c r="N18" s="302">
        <f t="shared" si="4"/>
        <v>53.784</v>
      </c>
      <c r="O18" s="302">
        <f t="shared" si="5"/>
        <v>84.55005</v>
      </c>
      <c r="P18" s="302">
        <f t="shared" si="6"/>
        <v>50.45</v>
      </c>
      <c r="Q18" s="303">
        <f t="shared" si="7"/>
        <v>640.3152110000001</v>
      </c>
      <c r="V18" s="25" t="s">
        <v>256</v>
      </c>
      <c r="W18" s="28">
        <v>8000</v>
      </c>
    </row>
    <row r="19" spans="3:23" ht="15.75" customHeight="1">
      <c r="C19" s="401" t="s">
        <v>527</v>
      </c>
      <c r="D19" s="400"/>
      <c r="E19" s="400"/>
      <c r="F19" s="400"/>
      <c r="G19" s="400"/>
      <c r="H19" s="401"/>
      <c r="I19" s="402"/>
      <c r="J19" s="400"/>
      <c r="K19" s="400"/>
      <c r="L19" s="400"/>
      <c r="M19" s="400"/>
      <c r="N19" s="400"/>
      <c r="O19" s="400"/>
      <c r="P19" s="400"/>
      <c r="Q19" s="400"/>
      <c r="V19" s="25" t="s">
        <v>257</v>
      </c>
      <c r="W19" s="28">
        <v>20000</v>
      </c>
    </row>
    <row r="20" spans="22:23" ht="15.75" customHeight="1">
      <c r="V20" s="25" t="s">
        <v>258</v>
      </c>
      <c r="W20" s="28">
        <v>20000</v>
      </c>
    </row>
    <row r="21" spans="1:23" ht="15.75" customHeight="1">
      <c r="A21" s="173" t="s">
        <v>1961</v>
      </c>
      <c r="B21" s="164" t="s">
        <v>1962</v>
      </c>
      <c r="C21" s="163" t="s">
        <v>1963</v>
      </c>
      <c r="D21" s="278">
        <f>LOOKUP(A21,'[2]PT OCT 2011'!$A$2:$A$730,'[2]PT OCT 2011'!$D$2:$D$730)</f>
        <v>50.45</v>
      </c>
      <c r="V21" s="25" t="s">
        <v>259</v>
      </c>
      <c r="W21" s="28">
        <v>14000</v>
      </c>
    </row>
    <row r="22" spans="1:23" ht="15.75" customHeight="1">
      <c r="A22" s="173" t="s">
        <v>1964</v>
      </c>
      <c r="B22" s="164" t="s">
        <v>1965</v>
      </c>
      <c r="C22" s="163" t="s">
        <v>1963</v>
      </c>
      <c r="D22" s="278">
        <f>LOOKUP(A22,'[2]PT OCT 2011'!$A$2:$A$730,'[2]PT OCT 2011'!$D$2:$D$730)</f>
        <v>42.96</v>
      </c>
      <c r="V22" s="25" t="s">
        <v>260</v>
      </c>
      <c r="W22" s="28">
        <v>16000</v>
      </c>
    </row>
    <row r="23" spans="1:23" ht="15.75" customHeight="1">
      <c r="A23" s="173" t="s">
        <v>1966</v>
      </c>
      <c r="B23" s="164" t="s">
        <v>1967</v>
      </c>
      <c r="C23" s="163" t="s">
        <v>1963</v>
      </c>
      <c r="D23" s="278">
        <f>LOOKUP(A23,'[2]PT OCT 2011'!$A$2:$A$730,'[2]PT OCT 2011'!$D$2:$D$730)</f>
        <v>39.6</v>
      </c>
      <c r="V23" s="25" t="s">
        <v>261</v>
      </c>
      <c r="W23" s="28">
        <v>14000</v>
      </c>
    </row>
    <row r="24" spans="1:23" ht="15.75" customHeight="1">
      <c r="A24" s="173" t="s">
        <v>1968</v>
      </c>
      <c r="B24" s="164" t="s">
        <v>1969</v>
      </c>
      <c r="C24" s="163" t="s">
        <v>1963</v>
      </c>
      <c r="D24" s="278">
        <f>LOOKUP(A24,'[2]PT OCT 2011'!$A$2:$A$730,'[2]PT OCT 2011'!$D$2:$D$730)</f>
        <v>36.36</v>
      </c>
      <c r="V24" s="25" t="s">
        <v>262</v>
      </c>
      <c r="W24" s="28">
        <v>10000</v>
      </c>
    </row>
    <row r="25" spans="1:23" ht="15.75" customHeight="1">
      <c r="A25" s="173" t="s">
        <v>1103</v>
      </c>
      <c r="B25" s="164" t="s">
        <v>1104</v>
      </c>
      <c r="C25" s="163" t="s">
        <v>1963</v>
      </c>
      <c r="D25" s="278">
        <f>LOOKUP(A25,'[2]PT OCT 2011'!$A$2:$A$730,'[2]PT OCT 2011'!$D$2:$D$730)</f>
        <v>43.26</v>
      </c>
      <c r="V25" s="25" t="s">
        <v>263</v>
      </c>
      <c r="W25" s="28">
        <v>12000</v>
      </c>
    </row>
    <row r="26" spans="1:23" ht="15.75" customHeight="1">
      <c r="A26" s="173" t="s">
        <v>1675</v>
      </c>
      <c r="B26" s="164" t="s">
        <v>1970</v>
      </c>
      <c r="C26" s="163" t="s">
        <v>1963</v>
      </c>
      <c r="D26" s="278">
        <f>LOOKUP(A26,'[2]PT OCT 2011'!$A$2:$A$730,'[2]PT OCT 2011'!$D$2:$D$730)</f>
        <v>39.41</v>
      </c>
      <c r="V26" s="25" t="s">
        <v>264</v>
      </c>
      <c r="W26" s="28">
        <v>16000</v>
      </c>
    </row>
    <row r="27" spans="1:23" ht="15.75" customHeight="1">
      <c r="A27" s="173" t="s">
        <v>1707</v>
      </c>
      <c r="B27" s="164" t="s">
        <v>2050</v>
      </c>
      <c r="C27" s="163" t="s">
        <v>1963</v>
      </c>
      <c r="D27" s="278">
        <f>LOOKUP(A27,'[2]PT OCT 2011'!$A$2:$A$730,'[2]PT OCT 2011'!$D$2:$D$730)</f>
        <v>45.8</v>
      </c>
      <c r="V27" s="25" t="s">
        <v>265</v>
      </c>
      <c r="W27" s="28">
        <v>20000</v>
      </c>
    </row>
    <row r="28" spans="1:23" ht="15.75" customHeight="1">
      <c r="A28" s="173" t="s">
        <v>1210</v>
      </c>
      <c r="B28" s="164" t="s">
        <v>1211</v>
      </c>
      <c r="C28" s="163" t="s">
        <v>1963</v>
      </c>
      <c r="D28" s="278">
        <f>LOOKUP(A28,'[2]PT OCT 2011'!$A$2:$A$730,'[2]PT OCT 2011'!$D$2:$D$730)</f>
        <v>50.45</v>
      </c>
      <c r="V28" s="25" t="s">
        <v>266</v>
      </c>
      <c r="W28" s="28">
        <v>10000</v>
      </c>
    </row>
    <row r="29" spans="22:23" ht="15.75" customHeight="1">
      <c r="V29" s="25" t="s">
        <v>267</v>
      </c>
      <c r="W29" s="28">
        <v>12000</v>
      </c>
    </row>
    <row r="30" spans="1:23" ht="15.75" customHeight="1">
      <c r="A30" s="173" t="s">
        <v>2051</v>
      </c>
      <c r="B30" s="164" t="s">
        <v>1996</v>
      </c>
      <c r="C30" s="163" t="s">
        <v>348</v>
      </c>
      <c r="D30" s="278">
        <f>LOOKUP(A30,'[2]PT OCT 2011'!$A$2:$A$730,'[2]PT OCT 2011'!$D$2:$D$730)</f>
        <v>4.95</v>
      </c>
      <c r="V30" s="25" t="s">
        <v>268</v>
      </c>
      <c r="W30" s="28">
        <v>10000</v>
      </c>
    </row>
    <row r="31" spans="22:23" ht="15.75" customHeight="1">
      <c r="V31" s="25" t="s">
        <v>269</v>
      </c>
      <c r="W31" s="28">
        <v>10000</v>
      </c>
    </row>
    <row r="32" spans="22:23" ht="15.75" customHeight="1">
      <c r="V32" s="25" t="s">
        <v>270</v>
      </c>
      <c r="W32" s="28">
        <v>10000</v>
      </c>
    </row>
    <row r="33" spans="22:23" ht="15.75" customHeight="1">
      <c r="V33" s="25" t="s">
        <v>271</v>
      </c>
      <c r="W33" s="28">
        <v>12000</v>
      </c>
    </row>
    <row r="34" spans="22:23" ht="15.75" customHeight="1" thickBot="1">
      <c r="V34" s="26" t="s">
        <v>272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D4:D5"/>
    <mergeCell ref="C4:C5"/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1871</v>
      </c>
      <c r="C2" s="77" t="str">
        <f>Fecha</f>
        <v>NOV/12</v>
      </c>
      <c r="D2" s="65"/>
      <c r="E2" s="48"/>
      <c r="F2" s="392">
        <f>SUM(F4:F7)</f>
        <v>123.7474</v>
      </c>
      <c r="G2" s="41"/>
    </row>
    <row r="3" spans="1:7" ht="13.5" thickBot="1">
      <c r="A3" s="7" t="s">
        <v>345</v>
      </c>
      <c r="B3" s="7" t="s">
        <v>1722</v>
      </c>
      <c r="C3" s="78" t="s">
        <v>344</v>
      </c>
      <c r="D3" s="49" t="s">
        <v>1851</v>
      </c>
      <c r="E3" s="50"/>
      <c r="F3" s="68"/>
      <c r="G3" s="42" t="s">
        <v>2023</v>
      </c>
    </row>
    <row r="4" spans="1:6" ht="13.5" thickTop="1">
      <c r="A4" s="82" t="s">
        <v>350</v>
      </c>
      <c r="E4" s="51"/>
      <c r="F4" s="69"/>
    </row>
    <row r="5" spans="1:6" ht="12.75">
      <c r="A5" s="82" t="s">
        <v>351</v>
      </c>
      <c r="D5" s="51"/>
      <c r="E5" s="51"/>
      <c r="F5" s="69"/>
    </row>
    <row r="6" spans="1:6" ht="12.75">
      <c r="A6" s="3" t="s">
        <v>1675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VLOOKUP(A6,'IN-12-11'!A6:D880,4,FALSE)</f>
        <v>39.41</v>
      </c>
      <c r="F6" s="69">
        <f>(D6*E6)</f>
        <v>123.7474</v>
      </c>
    </row>
    <row r="7" spans="1:6" ht="12.75">
      <c r="A7" s="82" t="s">
        <v>352</v>
      </c>
      <c r="D7" s="51"/>
      <c r="E7" s="51"/>
      <c r="F7" s="69"/>
    </row>
    <row r="8" spans="4:6" ht="13.5" thickBot="1">
      <c r="D8" s="51"/>
      <c r="E8" s="393"/>
      <c r="F8" s="69"/>
    </row>
    <row r="9" spans="1:7" ht="13.5" thickTop="1">
      <c r="A9" s="75" t="s">
        <v>346</v>
      </c>
      <c r="B9" s="391" t="s">
        <v>1872</v>
      </c>
      <c r="C9" s="77" t="str">
        <f>Fecha</f>
        <v>NOV/12</v>
      </c>
      <c r="D9" s="48"/>
      <c r="E9" s="51"/>
      <c r="F9" s="392">
        <f>SUM(F11:F14)</f>
        <v>156.8518</v>
      </c>
      <c r="G9" s="41"/>
    </row>
    <row r="10" spans="1:7" ht="13.5" thickBot="1">
      <c r="A10" s="7" t="s">
        <v>345</v>
      </c>
      <c r="B10" s="7" t="s">
        <v>1722</v>
      </c>
      <c r="C10" s="78" t="s">
        <v>344</v>
      </c>
      <c r="D10" s="49" t="s">
        <v>1771</v>
      </c>
      <c r="E10" s="393"/>
      <c r="F10" s="68"/>
      <c r="G10" s="42" t="s">
        <v>2023</v>
      </c>
    </row>
    <row r="11" spans="1:6" ht="13.5" thickTop="1">
      <c r="A11" s="82" t="s">
        <v>350</v>
      </c>
      <c r="D11" s="51"/>
      <c r="E11" s="51"/>
      <c r="F11" s="69"/>
    </row>
    <row r="12" spans="1:6" ht="12.75">
      <c r="A12" s="82" t="s">
        <v>351</v>
      </c>
      <c r="D12" s="51"/>
      <c r="E12" s="51"/>
      <c r="F12" s="69"/>
    </row>
    <row r="13" spans="1:6" ht="12.75">
      <c r="A13" s="3" t="s">
        <v>1675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VLOOKUP(A13,'IN-12-11'!A13:D887,4,FALSE)</f>
        <v>39.41</v>
      </c>
      <c r="F13" s="69">
        <f>(D13*E13)</f>
        <v>156.8518</v>
      </c>
    </row>
    <row r="14" spans="1:6" ht="12.75">
      <c r="A14" s="82" t="s">
        <v>352</v>
      </c>
      <c r="D14" s="51"/>
      <c r="E14" s="51"/>
      <c r="F14" s="69"/>
    </row>
    <row r="15" spans="4:6" ht="13.5" thickBot="1">
      <c r="D15" s="51"/>
      <c r="E15" s="393"/>
      <c r="F15" s="69"/>
    </row>
    <row r="16" spans="1:7" ht="13.5" thickTop="1">
      <c r="A16" s="75" t="s">
        <v>346</v>
      </c>
      <c r="B16" s="391" t="s">
        <v>1873</v>
      </c>
      <c r="C16" s="77" t="str">
        <f>Fecha</f>
        <v>NOV/12</v>
      </c>
      <c r="D16" s="48"/>
      <c r="E16" s="51"/>
      <c r="F16" s="392">
        <f>SUM(F18:F21)</f>
        <v>261.6824</v>
      </c>
      <c r="G16" s="41"/>
    </row>
    <row r="17" spans="1:7" ht="13.5" thickBot="1">
      <c r="A17" s="7" t="s">
        <v>345</v>
      </c>
      <c r="B17" s="7" t="s">
        <v>1722</v>
      </c>
      <c r="C17" s="78" t="s">
        <v>344</v>
      </c>
      <c r="D17" s="49" t="s">
        <v>1772</v>
      </c>
      <c r="E17" s="393"/>
      <c r="F17" s="68"/>
      <c r="G17" s="42" t="s">
        <v>2023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VLOOKUP(A20,'IN-12-11'!A20:D894,4,FALSE)</f>
        <v>39.41</v>
      </c>
      <c r="F20" s="69">
        <f>(D20*E20)</f>
        <v>261.6824</v>
      </c>
    </row>
    <row r="21" spans="1:6" ht="12.75">
      <c r="A21" s="82" t="s">
        <v>352</v>
      </c>
      <c r="D21" s="51"/>
      <c r="E21" s="51"/>
      <c r="F21" s="69"/>
    </row>
    <row r="22" spans="4:6" ht="13.5" thickBot="1">
      <c r="D22" s="51"/>
      <c r="E22" s="393"/>
      <c r="F22" s="69"/>
    </row>
    <row r="23" spans="1:7" ht="13.5" thickTop="1">
      <c r="A23" s="75" t="s">
        <v>346</v>
      </c>
      <c r="B23" s="391" t="s">
        <v>1874</v>
      </c>
      <c r="C23" s="77" t="str">
        <f>Fecha</f>
        <v>NOV/12</v>
      </c>
      <c r="D23" s="48"/>
      <c r="E23" s="51"/>
      <c r="F23" s="392">
        <f>SUM(F25:F29)</f>
        <v>163.0512</v>
      </c>
      <c r="G23" s="41"/>
    </row>
    <row r="24" spans="1:7" ht="13.5" thickBot="1">
      <c r="A24" s="7" t="s">
        <v>345</v>
      </c>
      <c r="B24" s="7" t="s">
        <v>1722</v>
      </c>
      <c r="C24" s="78" t="s">
        <v>344</v>
      </c>
      <c r="D24" s="49" t="s">
        <v>1852</v>
      </c>
      <c r="E24" s="393"/>
      <c r="F24" s="68"/>
      <c r="G24" s="42" t="s">
        <v>2023</v>
      </c>
    </row>
    <row r="25" spans="1:6" ht="13.5" thickTop="1">
      <c r="A25" s="82" t="s">
        <v>350</v>
      </c>
      <c r="D25" s="51"/>
      <c r="E25" s="51"/>
      <c r="F25" s="69"/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VLOOKUP(A27,'IN-12-11'!A27:D901,4,FALSE)</f>
        <v>39.41</v>
      </c>
      <c r="F27" s="69">
        <f>(D27*E27)</f>
        <v>156.8518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VLOOKUP(A29,'IN-12-11'!A29:D903,4,FALSE)</f>
        <v>309.97</v>
      </c>
      <c r="F29" s="69">
        <f>(D29*E29)</f>
        <v>6.199400000000001</v>
      </c>
    </row>
    <row r="30" spans="1:6" ht="13.5" thickBot="1">
      <c r="A30" s="3"/>
      <c r="B30" s="4"/>
      <c r="C30" s="6"/>
      <c r="D30" s="51"/>
      <c r="E30" s="393"/>
      <c r="F30" s="69"/>
    </row>
    <row r="31" spans="1:7" ht="13.5" thickTop="1">
      <c r="A31" s="75" t="s">
        <v>346</v>
      </c>
      <c r="B31" s="391" t="s">
        <v>1877</v>
      </c>
      <c r="C31" s="77" t="str">
        <f>Fecha</f>
        <v>NOV/12</v>
      </c>
      <c r="D31" s="48"/>
      <c r="E31" s="51"/>
      <c r="F31" s="392">
        <f>SUM(F33:F38)</f>
        <v>89.18745999999999</v>
      </c>
      <c r="G31" s="41"/>
    </row>
    <row r="32" spans="1:7" ht="13.5" thickBot="1">
      <c r="A32" s="7" t="s">
        <v>345</v>
      </c>
      <c r="B32" s="7" t="s">
        <v>1722</v>
      </c>
      <c r="C32" s="78" t="s">
        <v>344</v>
      </c>
      <c r="D32" s="49" t="s">
        <v>1878</v>
      </c>
      <c r="E32" s="393"/>
      <c r="F32" s="68"/>
      <c r="G32" s="42" t="s">
        <v>2023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82" t="s">
        <v>351</v>
      </c>
      <c r="D34" s="51"/>
      <c r="E34" s="51"/>
      <c r="F34" s="69"/>
    </row>
    <row r="35" spans="1:6" ht="12.75">
      <c r="A35" s="3" t="s">
        <v>1675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VLOOKUP(A35,'IN-12-11'!A35:D909,4,FALSE)</f>
        <v>39.41</v>
      </c>
      <c r="F35" s="69">
        <f>(D35*E35)</f>
        <v>78.82</v>
      </c>
    </row>
    <row r="36" spans="1:6" ht="12.75">
      <c r="A36" s="82" t="s">
        <v>352</v>
      </c>
      <c r="D36" s="51"/>
      <c r="E36" s="51"/>
      <c r="F36" s="69"/>
    </row>
    <row r="37" spans="1:6" ht="12.75">
      <c r="A37" s="3" t="s">
        <v>1853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VLOOKUP(A37,'IN-12-11'!A37:D911,4,FALSE)</f>
        <v>383.98</v>
      </c>
      <c r="F37" s="69">
        <f>(D37*E37)</f>
        <v>10.367460000000001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346</v>
      </c>
      <c r="B39" s="391" t="s">
        <v>14</v>
      </c>
      <c r="C39" s="77" t="str">
        <f>Fecha</f>
        <v>NOV/12</v>
      </c>
      <c r="D39" s="48"/>
      <c r="E39" s="48"/>
      <c r="F39" s="392">
        <f>SUM(F41:F45)</f>
        <v>90.93089999999998</v>
      </c>
      <c r="G39" s="41"/>
    </row>
    <row r="40" spans="1:7" ht="13.5" thickBot="1">
      <c r="A40" s="7" t="s">
        <v>345</v>
      </c>
      <c r="B40" s="7" t="s">
        <v>1722</v>
      </c>
      <c r="C40" s="78" t="s">
        <v>344</v>
      </c>
      <c r="D40" s="49" t="s">
        <v>1879</v>
      </c>
      <c r="E40" s="50"/>
      <c r="F40" s="68"/>
      <c r="G40" s="42" t="s">
        <v>2023</v>
      </c>
    </row>
    <row r="41" spans="1:6" ht="13.5" thickTop="1">
      <c r="A41" s="82" t="s">
        <v>350</v>
      </c>
      <c r="D41" s="51"/>
      <c r="E41" s="51"/>
      <c r="F41" s="69"/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VLOOKUP(A43,'IN-12-11'!A43:D917,4,FALSE)</f>
        <v>39.41</v>
      </c>
      <c r="F43" s="69">
        <f>(D43*E43)</f>
        <v>84.73149999999998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VLOOKUP(A45,'IN-12-11'!A45:D919,4,FALSE)</f>
        <v>309.97</v>
      </c>
      <c r="F45" s="69">
        <f>(D45*E45)</f>
        <v>6.199400000000001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346</v>
      </c>
      <c r="B47" s="391" t="s">
        <v>370</v>
      </c>
      <c r="C47" s="77" t="str">
        <f>Fecha</f>
        <v>NOV/12</v>
      </c>
      <c r="D47" s="48"/>
      <c r="E47" s="48"/>
      <c r="F47" s="392">
        <f>SUM(F49:F53)</f>
        <v>15.34029</v>
      </c>
      <c r="G47" s="41"/>
    </row>
    <row r="48" spans="1:7" ht="13.5" thickBot="1">
      <c r="A48" s="7" t="s">
        <v>345</v>
      </c>
      <c r="B48" s="7" t="s">
        <v>1722</v>
      </c>
      <c r="C48" s="78" t="s">
        <v>344</v>
      </c>
      <c r="D48" s="49" t="s">
        <v>372</v>
      </c>
      <c r="E48" s="50"/>
      <c r="F48" s="68"/>
      <c r="G48" s="42" t="s">
        <v>2023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82" t="s">
        <v>351</v>
      </c>
      <c r="D50" s="51"/>
      <c r="E50" s="51"/>
      <c r="F50" s="69"/>
    </row>
    <row r="51" spans="1:8" ht="12.75">
      <c r="A51" s="3" t="s">
        <v>1675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VLOOKUP(A51,'IN-12-11'!A51:D925,4,FALSE)</f>
        <v>39.41</v>
      </c>
      <c r="F51" s="69">
        <f>(D51*E51)</f>
        <v>6.46324</v>
      </c>
      <c r="H51" s="86"/>
    </row>
    <row r="52" spans="1:6" ht="12.75">
      <c r="A52" s="82" t="s">
        <v>352</v>
      </c>
      <c r="D52" s="51"/>
      <c r="E52" s="51"/>
      <c r="F52" s="69"/>
    </row>
    <row r="53" spans="1:8" ht="12.75">
      <c r="A53" s="3" t="s">
        <v>1995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VLOOKUP(A53,'IN-12-11'!A53:D927,4,FALSE)</f>
        <v>253.63</v>
      </c>
      <c r="F53" s="69">
        <f>(D53*E53)</f>
        <v>8.87705</v>
      </c>
      <c r="H53" s="86"/>
    </row>
    <row r="54" ht="13.5" thickBot="1"/>
    <row r="55" spans="1:7" ht="13.5" thickTop="1">
      <c r="A55" s="75" t="s">
        <v>346</v>
      </c>
      <c r="B55" s="391" t="s">
        <v>371</v>
      </c>
      <c r="C55" s="77" t="str">
        <f>Fecha</f>
        <v>NOV/12</v>
      </c>
      <c r="D55" s="48"/>
      <c r="E55" s="48"/>
      <c r="F55" s="392">
        <f>SUM(F57:F62)</f>
        <v>4.5227</v>
      </c>
      <c r="G55" s="41"/>
    </row>
    <row r="56" spans="1:7" ht="13.5" thickBot="1">
      <c r="A56" s="7" t="s">
        <v>345</v>
      </c>
      <c r="B56" s="7" t="s">
        <v>1722</v>
      </c>
      <c r="C56" s="78" t="s">
        <v>344</v>
      </c>
      <c r="D56" s="49" t="s">
        <v>373</v>
      </c>
      <c r="E56" s="50"/>
      <c r="F56" s="68"/>
      <c r="G56" s="42" t="s">
        <v>2023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82" t="s">
        <v>351</v>
      </c>
      <c r="D58" s="51"/>
      <c r="E58" s="51"/>
      <c r="F58" s="69"/>
    </row>
    <row r="59" spans="1:8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VLOOKUP(A59,'IN-12-11'!A59:D933,4,FALSE)</f>
        <v>39.41</v>
      </c>
      <c r="F59" s="69">
        <f>(D59*E59)</f>
        <v>1.9705</v>
      </c>
      <c r="H59" s="86"/>
    </row>
    <row r="60" spans="1:6" ht="12.75">
      <c r="A60" s="82" t="s">
        <v>352</v>
      </c>
      <c r="D60" s="51"/>
      <c r="E60" s="51"/>
      <c r="F60" s="69"/>
    </row>
    <row r="61" spans="1:8" ht="12.75">
      <c r="A61" s="3" t="s">
        <v>1995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VLOOKUP(A61,'IN-12-11'!A61:D935,4,FALSE)</f>
        <v>253.63</v>
      </c>
      <c r="F61" s="69">
        <f>(D61*E61)</f>
        <v>1.26815</v>
      </c>
      <c r="H61" s="86"/>
    </row>
    <row r="62" spans="1:8" ht="12.75">
      <c r="A62" s="3" t="s">
        <v>1854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VLOOKUP(A62,'IN-12-11'!A62:D936,4,FALSE)</f>
        <v>256.81</v>
      </c>
      <c r="F62" s="69">
        <f>(D62*E62)</f>
        <v>1.2840500000000001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B1">
      <selection activeCell="E33" sqref="E3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1885</v>
      </c>
      <c r="C2" s="77" t="str">
        <f>Fecha</f>
        <v>NOV/12</v>
      </c>
      <c r="D2" s="48"/>
      <c r="E2" s="48"/>
      <c r="F2" s="392">
        <f>SUM(F4:F11)</f>
        <v>31.60282</v>
      </c>
      <c r="G2" s="41"/>
    </row>
    <row r="3" spans="1:7" ht="13.5" thickBot="1">
      <c r="A3" s="7" t="s">
        <v>345</v>
      </c>
      <c r="B3" s="7" t="s">
        <v>1723</v>
      </c>
      <c r="C3" s="78" t="s">
        <v>344</v>
      </c>
      <c r="D3" s="49" t="s">
        <v>1884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VLOOKUP(A5,'IN-12-11'!A6:D880,4,FALSE)</f>
        <v>0.92</v>
      </c>
      <c r="F5" s="69">
        <f>(D5*E5)</f>
        <v>9.200000000000001</v>
      </c>
    </row>
    <row r="6" spans="1:6" ht="12.75">
      <c r="A6" s="3" t="s">
        <v>1679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VLOOKUP(A6,'IN-12-11'!A7:D881,4,FALSE)</f>
        <v>90.4</v>
      </c>
      <c r="F6" s="69">
        <f>(D6*E6)</f>
        <v>3.1640000000000006</v>
      </c>
    </row>
    <row r="7" spans="1:6" ht="12.75">
      <c r="A7" s="3" t="s">
        <v>1680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VLOOKUP(A7,'IN-12-11'!A8:D882,4,FALSE)</f>
        <v>101</v>
      </c>
      <c r="F7" s="69">
        <f>(D7*E7)</f>
        <v>3.03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VLOOKUP(A9,'IN-12-11'!A10:D884,4,FALSE)</f>
        <v>39.41</v>
      </c>
      <c r="F9" s="69">
        <f>(D9*E9)</f>
        <v>15.764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1681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VLOOKUP(A11,'IN-12-11'!A12:D886,4,FALSE)</f>
        <v>444.82</v>
      </c>
      <c r="F11" s="69">
        <f>(D11*E11)</f>
        <v>0.44482</v>
      </c>
    </row>
    <row r="12" ht="13.5" thickBot="1">
      <c r="D12" s="51"/>
    </row>
    <row r="13" spans="1:7" ht="13.5" thickTop="1">
      <c r="A13" s="75" t="s">
        <v>346</v>
      </c>
      <c r="B13" s="391" t="s">
        <v>1895</v>
      </c>
      <c r="C13" s="77" t="str">
        <f>Fecha</f>
        <v>NOV/12</v>
      </c>
      <c r="D13" s="48"/>
      <c r="E13" s="48"/>
      <c r="F13" s="392">
        <f>SUM(F15:F23)</f>
        <v>1516.9612739999998</v>
      </c>
      <c r="G13" s="41"/>
    </row>
    <row r="14" spans="1:7" ht="13.5" thickBot="1">
      <c r="A14" s="7" t="s">
        <v>345</v>
      </c>
      <c r="B14" s="7" t="s">
        <v>1723</v>
      </c>
      <c r="C14" s="78" t="s">
        <v>344</v>
      </c>
      <c r="D14" s="49" t="s">
        <v>1907</v>
      </c>
      <c r="E14" s="50"/>
      <c r="F14" s="68"/>
      <c r="G14" s="42" t="s">
        <v>2023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VLOOKUP(A16,'IN-12-11'!A7:D7,4,FALSE)</f>
        <v>5.6933</v>
      </c>
      <c r="F16" s="69">
        <f>(D16*E16)</f>
        <v>334.652174</v>
      </c>
    </row>
    <row r="17" spans="1:6" ht="12.75">
      <c r="A17" s="3" t="s">
        <v>1678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VLOOKUP(A17,'IN-12-11'!A18:D892,4,FALSE)</f>
        <v>0.92</v>
      </c>
      <c r="F17" s="69">
        <f>(D17*E17)</f>
        <v>230</v>
      </c>
    </row>
    <row r="18" spans="1:6" ht="12.75">
      <c r="A18" s="3" t="s">
        <v>1679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VLOOKUP(A18,'IN-12-11'!A19:D893,4,FALSE)</f>
        <v>90.4</v>
      </c>
      <c r="F18" s="69">
        <f>(D18*E18)</f>
        <v>63.28</v>
      </c>
    </row>
    <row r="19" spans="1:6" ht="12.75">
      <c r="A19" s="3" t="s">
        <v>1680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VLOOKUP(A19,'IN-12-11'!A20:D894,4,FALSE)</f>
        <v>101</v>
      </c>
      <c r="F19" s="69">
        <f>(D19*E19)</f>
        <v>60.599999999999994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1675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VLOOKUP(A21,'IN-12-11'!A22:D896,4,FALSE)</f>
        <v>39.41</v>
      </c>
      <c r="F21" s="69">
        <f>(D21*E21)</f>
        <v>803.9639999999998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1681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VLOOKUP(A23,'IN-12-11'!A24:D898,4,FALSE)</f>
        <v>444.82</v>
      </c>
      <c r="F23" s="69">
        <f>(D23*E23)</f>
        <v>24.4651</v>
      </c>
    </row>
    <row r="24" spans="4:6" ht="13.5" thickBot="1">
      <c r="D24" s="51"/>
      <c r="E24" s="51"/>
      <c r="F24" s="69"/>
    </row>
    <row r="25" spans="1:7" ht="13.5" thickTop="1">
      <c r="A25" s="75" t="s">
        <v>346</v>
      </c>
      <c r="B25" s="391" t="s">
        <v>1896</v>
      </c>
      <c r="C25" s="77" t="str">
        <f>Fecha</f>
        <v>NOV/12</v>
      </c>
      <c r="D25" s="48"/>
      <c r="E25" s="48"/>
      <c r="F25" s="392">
        <f>SUM(F27:F35)</f>
        <v>1940.5893499999997</v>
      </c>
      <c r="G25" s="41"/>
    </row>
    <row r="26" spans="1:7" ht="13.5" thickBot="1">
      <c r="A26" s="7" t="s">
        <v>345</v>
      </c>
      <c r="B26" s="7" t="s">
        <v>1723</v>
      </c>
      <c r="C26" s="78" t="s">
        <v>344</v>
      </c>
      <c r="D26" s="49" t="s">
        <v>1906</v>
      </c>
      <c r="E26" s="50"/>
      <c r="F26" s="68"/>
      <c r="G26" s="42" t="s">
        <v>2023</v>
      </c>
    </row>
    <row r="27" spans="1:6" ht="13.5" thickTop="1">
      <c r="A27" s="82" t="s">
        <v>350</v>
      </c>
      <c r="D27" s="51"/>
      <c r="E27" s="51"/>
      <c r="F27" s="69"/>
    </row>
    <row r="28" spans="1:6" ht="12.75">
      <c r="A28" s="3" t="s">
        <v>1677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VLOOKUP(A28,'IN-12-11'!A7:D7,4,FALSE)</f>
        <v>5.6933</v>
      </c>
      <c r="F28" s="69">
        <f>(D28*E28)</f>
        <v>412.76425</v>
      </c>
    </row>
    <row r="29" spans="1:6" ht="12.75">
      <c r="A29" s="3" t="s">
        <v>1678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VLOOKUP(A29,'IN-12-11'!A30:D904,4,FALSE)</f>
        <v>0.92</v>
      </c>
      <c r="F29" s="69">
        <f>(D29*E29)</f>
        <v>276</v>
      </c>
    </row>
    <row r="30" spans="1:6" ht="12.75">
      <c r="A30" s="3" t="s">
        <v>1679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VLOOKUP(A30,'IN-12-11'!A31:D905,4,FALSE)</f>
        <v>90.4</v>
      </c>
      <c r="F30" s="69">
        <f>(D30*E30)</f>
        <v>63.28</v>
      </c>
    </row>
    <row r="31" spans="1:6" ht="12.75">
      <c r="A31" s="3" t="s">
        <v>1680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VLOOKUP(A31,'IN-12-11'!A32:D906,4,FALSE)</f>
        <v>101</v>
      </c>
      <c r="F31" s="69">
        <f>(D31*E31)</f>
        <v>60.599999999999994</v>
      </c>
    </row>
    <row r="32" spans="1:6" ht="12.75">
      <c r="A32" s="82" t="s">
        <v>351</v>
      </c>
      <c r="D32" s="51"/>
      <c r="E32" s="51"/>
      <c r="F32" s="69"/>
    </row>
    <row r="33" spans="1:6" ht="12.75">
      <c r="A33" s="3" t="s">
        <v>1675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VLOOKUP(A33,'IN-12-11'!A34:D908,4,FALSE)</f>
        <v>39.41</v>
      </c>
      <c r="F33" s="69">
        <f>(D33*E33)</f>
        <v>1103.48</v>
      </c>
    </row>
    <row r="34" spans="1:6" ht="12.75">
      <c r="A34" s="82" t="s">
        <v>352</v>
      </c>
      <c r="D34" s="51"/>
      <c r="E34" s="51"/>
      <c r="F34" s="69"/>
    </row>
    <row r="35" spans="1:6" ht="12.75">
      <c r="A35" s="3" t="s">
        <v>1681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VLOOKUP(A35,'IN-12-11'!A36:D910,4,FALSE)</f>
        <v>444.82</v>
      </c>
      <c r="F35" s="69">
        <f>(D35*E35)</f>
        <v>24.4651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346</v>
      </c>
      <c r="B37" s="391" t="s">
        <v>1905</v>
      </c>
      <c r="C37" s="77" t="str">
        <f>Fecha</f>
        <v>NOV/12</v>
      </c>
      <c r="D37" s="48"/>
      <c r="E37" s="48"/>
      <c r="F37" s="392">
        <f>SUM(F39:F47)</f>
        <v>1746.8533499999999</v>
      </c>
      <c r="G37" s="41"/>
    </row>
    <row r="38" spans="1:7" ht="13.5" thickBot="1">
      <c r="A38" s="7" t="s">
        <v>345</v>
      </c>
      <c r="B38" s="7" t="s">
        <v>1723</v>
      </c>
      <c r="C38" s="78" t="s">
        <v>344</v>
      </c>
      <c r="D38" s="49" t="s">
        <v>1908</v>
      </c>
      <c r="E38" s="50"/>
      <c r="F38" s="68"/>
      <c r="G38" s="42" t="s">
        <v>2023</v>
      </c>
    </row>
    <row r="39" spans="1:6" ht="13.5" thickTop="1">
      <c r="A39" s="82" t="s">
        <v>350</v>
      </c>
      <c r="D39" s="51"/>
      <c r="E39" s="51"/>
      <c r="F39" s="69"/>
    </row>
    <row r="40" spans="1:6" ht="12.75">
      <c r="A40" s="3" t="s">
        <v>1682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VLOOKUP(A40,'IN-12-11'!A9:D9,4,FALSE)</f>
        <v>8.695</v>
      </c>
      <c r="F40" s="69">
        <f>(D40*E40)</f>
        <v>419.53375</v>
      </c>
    </row>
    <row r="41" spans="1:6" ht="12.75">
      <c r="A41" s="3" t="s">
        <v>1678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VLOOKUP(A41,'IN-12-11'!A42:D916,4,FALSE)</f>
        <v>0.92</v>
      </c>
      <c r="F41" s="69">
        <f>(D41*E41)</f>
        <v>276</v>
      </c>
    </row>
    <row r="42" spans="1:6" ht="12.75">
      <c r="A42" s="3" t="s">
        <v>1679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VLOOKUP(A42,'IN-12-11'!A43:D917,4,FALSE)</f>
        <v>90.4</v>
      </c>
      <c r="F42" s="69">
        <f>(D42*E42)</f>
        <v>63.28</v>
      </c>
    </row>
    <row r="43" spans="1:6" ht="12.75">
      <c r="A43" s="3" t="s">
        <v>1680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/>
      <c r="F43" s="69">
        <f>(D43*E43)</f>
        <v>0</v>
      </c>
    </row>
    <row r="44" spans="1:6" ht="12.75">
      <c r="A44" s="82" t="s">
        <v>351</v>
      </c>
      <c r="D44" s="51"/>
      <c r="E44" s="51"/>
      <c r="F44" s="69"/>
    </row>
    <row r="45" spans="1:6" ht="12.75">
      <c r="A45" s="3" t="s">
        <v>1675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VLOOKUP(A45,'IN-12-11'!A46:D920,4,FALSE)</f>
        <v>39.41</v>
      </c>
      <c r="F45" s="69">
        <f>(D45*E45)</f>
        <v>963.5745</v>
      </c>
    </row>
    <row r="46" spans="1:6" ht="12.75">
      <c r="A46" s="82" t="s">
        <v>352</v>
      </c>
      <c r="D46" s="51"/>
      <c r="E46" s="51"/>
      <c r="F46" s="69"/>
    </row>
    <row r="47" spans="1:6" ht="12.75">
      <c r="A47" s="3" t="s">
        <v>1681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VLOOKUP(A47,'IN-12-11'!A48:D922,4,FALSE)</f>
        <v>444.82</v>
      </c>
      <c r="F47" s="69">
        <f>(D47*E47)</f>
        <v>24.4651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15</v>
      </c>
      <c r="C2" s="77" t="str">
        <f>Fecha</f>
        <v>NOV/12</v>
      </c>
      <c r="D2" s="48"/>
      <c r="E2" s="48"/>
      <c r="F2" s="392">
        <f>SUM(F4:F13)</f>
        <v>3023.8735149999998</v>
      </c>
      <c r="G2" s="41"/>
    </row>
    <row r="3" spans="1:7" ht="13.5" thickBot="1">
      <c r="A3" s="7" t="s">
        <v>345</v>
      </c>
      <c r="B3" s="7" t="s">
        <v>1724</v>
      </c>
      <c r="C3" s="78" t="s">
        <v>344</v>
      </c>
      <c r="D3" s="49" t="s">
        <v>16</v>
      </c>
      <c r="E3" s="50"/>
      <c r="F3" s="68"/>
      <c r="G3" s="42" t="s">
        <v>2023</v>
      </c>
    </row>
    <row r="4" spans="1:6" ht="13.5" thickTop="1">
      <c r="A4" s="82" t="s">
        <v>350</v>
      </c>
      <c r="D4" s="51"/>
      <c r="E4" s="51"/>
      <c r="F4" s="69"/>
    </row>
    <row r="5" spans="1:8" ht="12.75">
      <c r="A5" s="3" t="s">
        <v>1677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VLOOKUP(A5,'IN-12-11'!A6:D880,4,FALSE)</f>
        <v>5.6933</v>
      </c>
      <c r="F5" s="69">
        <f>(D5*E5)</f>
        <v>939.3945</v>
      </c>
      <c r="H5" s="1" t="s">
        <v>1061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VLOOKUP(A6,'IN-12-11'!A7:D881,4,FALSE)</f>
        <v>0.92</v>
      </c>
      <c r="F6" s="69">
        <f>(D6*E6)</f>
        <v>289.8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VLOOKUP(A7,'IN-12-11'!A8:D882,4,FALSE)</f>
        <v>50.665</v>
      </c>
      <c r="F7" s="69">
        <f>(D7*E7)</f>
        <v>131.27301500000002</v>
      </c>
    </row>
    <row r="8" spans="1:8" ht="12.75">
      <c r="A8" s="3" t="s">
        <v>1679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VLOOKUP(A8,'IN-12-11'!A9:D883,4,FALSE)</f>
        <v>90.4</v>
      </c>
      <c r="F8" s="69">
        <f>(D8*E8)</f>
        <v>63.28</v>
      </c>
      <c r="H8" s="1" t="s">
        <v>1061</v>
      </c>
    </row>
    <row r="9" spans="1:8" ht="12.75">
      <c r="A9" s="3" t="s">
        <v>1680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VLOOKUP(A9,'IN-12-11'!A10:D884,4,FALSE)</f>
        <v>101</v>
      </c>
      <c r="F9" s="69">
        <f>(D9*E9)</f>
        <v>60.599999999999994</v>
      </c>
      <c r="H9" s="1" t="s">
        <v>1061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VLOOKUP(A11,'IN-12-11'!A12:D886,4,FALSE)</f>
        <v>39.41</v>
      </c>
      <c r="F11" s="69">
        <f>(D11*E11)</f>
        <v>1517.2849999999999</v>
      </c>
    </row>
    <row r="12" spans="1:6" ht="12.75">
      <c r="A12" s="82" t="s">
        <v>352</v>
      </c>
      <c r="D12" s="51"/>
      <c r="E12" s="51"/>
      <c r="F12" s="69"/>
    </row>
    <row r="13" spans="1:8" ht="12.75">
      <c r="A13" s="3" t="s">
        <v>1681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VLOOKUP(A13,'IN-12-11'!A14:D888,4,FALSE)</f>
        <v>444.82</v>
      </c>
      <c r="F13" s="69">
        <f>(D13*E13)</f>
        <v>22.241</v>
      </c>
      <c r="H13" s="1" t="s">
        <v>1061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346</v>
      </c>
      <c r="B16" s="391" t="s">
        <v>1897</v>
      </c>
      <c r="C16" s="77" t="str">
        <f>Fecha</f>
        <v>NOV/12</v>
      </c>
      <c r="D16" s="48"/>
      <c r="E16" s="48"/>
      <c r="F16" s="392">
        <f>SUM(F18:F27)</f>
        <v>2883.5182149999996</v>
      </c>
      <c r="G16" s="41"/>
    </row>
    <row r="17" spans="1:7" ht="13.5" thickBot="1">
      <c r="A17" s="7" t="s">
        <v>345</v>
      </c>
      <c r="B17" s="7" t="s">
        <v>1724</v>
      </c>
      <c r="C17" s="78" t="s">
        <v>344</v>
      </c>
      <c r="D17" s="49" t="s">
        <v>1894</v>
      </c>
      <c r="E17" s="50"/>
      <c r="F17" s="68"/>
      <c r="G17" s="42" t="s">
        <v>2023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VLOOKUP(A19,'IN-12-11'!A7:D7,4,FALSE)</f>
        <v>5.6933</v>
      </c>
      <c r="F19" s="69">
        <f>(D19*E19)</f>
        <v>848.3017</v>
      </c>
    </row>
    <row r="20" spans="1:6" ht="12.75">
      <c r="A20" s="3" t="s">
        <v>1678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VLOOKUP(A20,'IN-12-11'!A21:D895,4,FALSE)</f>
        <v>0.92</v>
      </c>
      <c r="F20" s="69">
        <f>(D20*E20)</f>
        <v>289.8</v>
      </c>
    </row>
    <row r="21" spans="1:6" ht="12.75">
      <c r="A21" s="3" t="s">
        <v>148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VLOOKUP(A21,'IN-12-11'!A22:D896,4,FALSE)</f>
        <v>50.665</v>
      </c>
      <c r="F21" s="69">
        <f>(D21*E21)</f>
        <v>131.27301500000002</v>
      </c>
    </row>
    <row r="22" spans="1:6" ht="12.75">
      <c r="A22" s="3" t="s">
        <v>1679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VLOOKUP(A22,'IN-12-11'!A23:D897,4,FALSE)</f>
        <v>90.4</v>
      </c>
      <c r="F22" s="69">
        <f>(D22*E22)</f>
        <v>63.28</v>
      </c>
    </row>
    <row r="23" spans="1:6" ht="12.75">
      <c r="A23" s="3" t="s">
        <v>1680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VLOOKUP(A23,'IN-12-11'!A24:D898,4,FALSE)</f>
        <v>101</v>
      </c>
      <c r="F23" s="69">
        <f>(D23*E23)</f>
        <v>60.599999999999994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1675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VLOOKUP(A25,'IN-12-11'!A26:D900,4,FALSE)</f>
        <v>39.41</v>
      </c>
      <c r="F25" s="69">
        <f>(D25*E25)</f>
        <v>1468.0224999999998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VLOOKUP(A27,'IN-12-11'!A28:D902,4,FALSE)</f>
        <v>444.82</v>
      </c>
      <c r="F27" s="69">
        <f>(D27*E27)</f>
        <v>22.241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391" t="s">
        <v>15</v>
      </c>
      <c r="C29" s="77" t="str">
        <f>Fecha</f>
        <v>NOV/12</v>
      </c>
      <c r="D29" s="48"/>
      <c r="E29" s="48"/>
      <c r="F29" s="392">
        <f>SUM(F31:F40)</f>
        <v>2763.04403</v>
      </c>
      <c r="G29" s="41"/>
    </row>
    <row r="30" spans="1:7" ht="13.5" thickBot="1">
      <c r="A30" s="7" t="s">
        <v>345</v>
      </c>
      <c r="B30" s="7" t="s">
        <v>1724</v>
      </c>
      <c r="C30" s="78" t="s">
        <v>344</v>
      </c>
      <c r="D30" s="49" t="s">
        <v>1893</v>
      </c>
      <c r="E30" s="50"/>
      <c r="F30" s="68"/>
      <c r="G30" s="42" t="s">
        <v>2023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1677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VLOOKUP(A32,'IN-12-11'!A7:D7,4,FALSE)</f>
        <v>5.6933</v>
      </c>
      <c r="F32" s="69">
        <f>(D32*E32)</f>
        <v>751.5156</v>
      </c>
    </row>
    <row r="33" spans="1:6" ht="12.75">
      <c r="A33" s="3" t="s">
        <v>1678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VLOOKUP(A33,'IN-12-11'!A34:D908,4,FALSE)</f>
        <v>0.92</v>
      </c>
      <c r="F33" s="69">
        <f>(D33*E33)</f>
        <v>285.2</v>
      </c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VLOOKUP(A34,'IN-12-11'!A35:D909,4,FALSE)</f>
        <v>50.665</v>
      </c>
      <c r="F34" s="69">
        <f>(D34*E34)</f>
        <v>98.39143</v>
      </c>
    </row>
    <row r="35" spans="1:6" ht="12.75">
      <c r="A35" s="3" t="s">
        <v>1679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VLOOKUP(A35,'IN-12-11'!A36:D910,4,FALSE)</f>
        <v>90.4</v>
      </c>
      <c r="F35" s="69">
        <f>(D35*E35)</f>
        <v>63.28</v>
      </c>
    </row>
    <row r="36" spans="1:6" ht="12.75">
      <c r="A36" s="3" t="s">
        <v>1680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VLOOKUP(A36,'IN-12-11'!A37:D911,4,FALSE)</f>
        <v>101</v>
      </c>
      <c r="F36" s="69">
        <f>(D36*E36)</f>
        <v>60.599999999999994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VLOOKUP(A38,'IN-12-11'!A39:D913,4,FALSE)</f>
        <v>39.41</v>
      </c>
      <c r="F38" s="69">
        <f>(D38*E38)</f>
        <v>1481.816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VLOOKUP(A40,'IN-12-11'!A41:D915,4,FALSE)</f>
        <v>444.82</v>
      </c>
      <c r="F40" s="69">
        <f>(D40*E40)</f>
        <v>22.241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391" t="s">
        <v>15</v>
      </c>
      <c r="C42" s="77" t="str">
        <f>Fecha</f>
        <v>NOV/12</v>
      </c>
      <c r="D42" s="48"/>
      <c r="E42" s="48"/>
      <c r="F42" s="392">
        <f>SUM(F44:F53)</f>
        <v>2993.5562</v>
      </c>
      <c r="G42" s="41"/>
    </row>
    <row r="43" spans="1:7" ht="13.5" thickBot="1">
      <c r="A43" s="7" t="s">
        <v>345</v>
      </c>
      <c r="B43" s="7" t="s">
        <v>1724</v>
      </c>
      <c r="C43" s="78" t="s">
        <v>344</v>
      </c>
      <c r="D43" s="49" t="s">
        <v>1899</v>
      </c>
      <c r="E43" s="50"/>
      <c r="F43" s="68"/>
      <c r="G43" s="42" t="s">
        <v>2023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VLOOKUP(A45,'IN-12-11'!A7:D7,4,FALSE)</f>
        <v>5.6933</v>
      </c>
      <c r="F45" s="69">
        <f>(D45*E45)</f>
        <v>762.9022</v>
      </c>
    </row>
    <row r="46" spans="1:6" ht="12.75">
      <c r="A46" s="3" t="s">
        <v>1678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VLOOKUP(A46,'IN-12-11'!A47:D921,4,FALSE)</f>
        <v>0.92</v>
      </c>
      <c r="F46" s="69">
        <f>(D46*E46)</f>
        <v>285.2</v>
      </c>
    </row>
    <row r="47" spans="1:6" ht="12.75">
      <c r="A47" s="3" t="s">
        <v>148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VLOOKUP(A47,'IN-12-11'!A48:D922,4,FALSE)</f>
        <v>50.665</v>
      </c>
      <c r="F47" s="69">
        <f>(D47*E47)</f>
        <v>151.995</v>
      </c>
    </row>
    <row r="48" spans="1:6" ht="12.75">
      <c r="A48" s="3" t="s">
        <v>1679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VLOOKUP(A48,'IN-12-11'!A44:D44,4,FALSE)</f>
        <v>90.4</v>
      </c>
      <c r="F48" s="69">
        <f>(D48*E48)</f>
        <v>63.28</v>
      </c>
    </row>
    <row r="49" spans="1:6" ht="12.75">
      <c r="A49" s="3" t="s">
        <v>1680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VLOOKUP(A49,'IN-12-11'!A42:D42,4,FALSE)</f>
        <v>101</v>
      </c>
      <c r="F49" s="69">
        <f>(D49*E49)</f>
        <v>60.599999999999994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1675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VLOOKUP(A51,'IN-12-11'!A52:D926,4,FALSE)</f>
        <v>39.41</v>
      </c>
      <c r="F51" s="69">
        <f>(D51*E51)</f>
        <v>1647.3379999999997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VLOOKUP(A53,'IN-12-11'!A54:D928,4,FALSE)</f>
        <v>444.82</v>
      </c>
      <c r="F53" s="69">
        <f>(D53*E53)</f>
        <v>22.241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346</v>
      </c>
      <c r="B55" s="391" t="s">
        <v>15</v>
      </c>
      <c r="C55" s="77" t="str">
        <f>Fecha</f>
        <v>NOV/12</v>
      </c>
      <c r="D55" s="48"/>
      <c r="E55" s="48"/>
      <c r="F55" s="392">
        <f>SUM(F57:F66)</f>
        <v>2243.5345388999995</v>
      </c>
      <c r="G55" s="41"/>
    </row>
    <row r="56" spans="1:7" ht="13.5" thickBot="1">
      <c r="A56" s="7" t="s">
        <v>345</v>
      </c>
      <c r="B56" s="7" t="s">
        <v>1724</v>
      </c>
      <c r="C56" s="78" t="s">
        <v>344</v>
      </c>
      <c r="D56" s="49" t="s">
        <v>1902</v>
      </c>
      <c r="E56" s="50"/>
      <c r="F56" s="68"/>
      <c r="G56" s="42" t="s">
        <v>2023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3" t="s">
        <v>1677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VLOOKUP(A58,'IN-12-11'!A7:D7,4,FALSE)</f>
        <v>5.6933</v>
      </c>
      <c r="F58" s="69">
        <f>(D58*E58)</f>
        <v>448.2505889</v>
      </c>
    </row>
    <row r="59" spans="1:6" ht="12.75">
      <c r="A59" s="3" t="s">
        <v>1678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VLOOKUP(A59,'IN-12-11'!A60:D934,4,FALSE)</f>
        <v>0.92</v>
      </c>
      <c r="F59" s="69">
        <f>(D59*E59)</f>
        <v>285.2</v>
      </c>
    </row>
    <row r="60" spans="1:6" ht="12.75">
      <c r="A60" s="3" t="s">
        <v>148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VLOOKUP(A60,'IN-12-11'!A61:D935,4,FALSE)</f>
        <v>50.665</v>
      </c>
      <c r="F60" s="69">
        <f>(D60*E60)</f>
        <v>173.78095000000002</v>
      </c>
    </row>
    <row r="61" spans="1:6" ht="12.75">
      <c r="A61" s="3" t="s">
        <v>1679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VLOOKUP(A61,'IN-12-11'!A44:D44,4,FALSE)</f>
        <v>90.4</v>
      </c>
      <c r="F61" s="69">
        <f>(D61*E61)</f>
        <v>63.28</v>
      </c>
    </row>
    <row r="62" spans="1:6" ht="12.75">
      <c r="A62" s="3" t="s">
        <v>1680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VLOOKUP(A62,'IN-12-11'!A42:D42,4,FALSE)</f>
        <v>101</v>
      </c>
      <c r="F62" s="69">
        <f>(D62*E62)</f>
        <v>60.599999999999994</v>
      </c>
    </row>
    <row r="63" spans="1:6" ht="12.75">
      <c r="A63" s="82" t="s">
        <v>351</v>
      </c>
      <c r="D63" s="51"/>
      <c r="E63" s="51"/>
      <c r="F63" s="69"/>
    </row>
    <row r="64" spans="1:6" ht="12.75">
      <c r="A64" s="3" t="s">
        <v>1675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VLOOKUP(A64,'IN-12-11'!A65:D939,4,FALSE)</f>
        <v>39.41</v>
      </c>
      <c r="F64" s="69">
        <f>(D64*E64)</f>
        <v>1190.1819999999998</v>
      </c>
    </row>
    <row r="65" spans="1:6" ht="12.75">
      <c r="A65" s="82" t="s">
        <v>352</v>
      </c>
      <c r="D65" s="51"/>
      <c r="E65" s="51"/>
      <c r="F65" s="69"/>
    </row>
    <row r="66" spans="1:6" ht="12.75">
      <c r="A66" s="3" t="s">
        <v>1681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VLOOKUP(A66,'IN-12-11'!A67:D941,4,FALSE)</f>
        <v>444.82</v>
      </c>
      <c r="F66" s="69">
        <f>(D66*E66)</f>
        <v>22.241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346</v>
      </c>
      <c r="B68" s="391" t="s">
        <v>15</v>
      </c>
      <c r="C68" s="77" t="str">
        <f>Fecha</f>
        <v>NOV/12</v>
      </c>
      <c r="D68" s="48"/>
      <c r="E68" s="48"/>
      <c r="F68" s="392">
        <f>SUM(F70:F79)</f>
        <v>346.2102</v>
      </c>
      <c r="G68" s="41"/>
    </row>
    <row r="69" spans="1:7" ht="13.5" thickBot="1">
      <c r="A69" s="7" t="s">
        <v>345</v>
      </c>
      <c r="B69" s="7" t="s">
        <v>1724</v>
      </c>
      <c r="C69" s="78" t="s">
        <v>344</v>
      </c>
      <c r="D69" s="49" t="s">
        <v>1904</v>
      </c>
      <c r="E69" s="50"/>
      <c r="F69" s="68"/>
      <c r="G69" s="42" t="s">
        <v>1976</v>
      </c>
    </row>
    <row r="70" spans="1:6" ht="13.5" thickTop="1">
      <c r="A70" s="82" t="s">
        <v>350</v>
      </c>
      <c r="D70" s="51"/>
      <c r="E70" s="51"/>
      <c r="F70" s="69"/>
    </row>
    <row r="71" spans="1:6" ht="12.75">
      <c r="A71" s="2" t="s">
        <v>1682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VLOOKUP(A71,'IN-12-11'!A9:D9,4,FALSE)</f>
        <v>8.695</v>
      </c>
      <c r="F71" s="69">
        <f aca="true" t="shared" si="2" ref="F71:F77">(D71*E71)</f>
        <v>11.1296</v>
      </c>
    </row>
    <row r="72" spans="1:6" ht="12.75">
      <c r="A72" s="2" t="s">
        <v>1697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VLOOKUP(A72,'IN-12-11'!A73:D947,4,FALSE)</f>
        <v>5.53</v>
      </c>
      <c r="F72" s="69">
        <f t="shared" si="2"/>
        <v>44.24</v>
      </c>
    </row>
    <row r="73" spans="1:6" ht="12.75">
      <c r="A73" s="2" t="s">
        <v>1698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VLOOKUP(A73,'IN-12-11'!A55:D55,4,FALSE)</f>
        <v>21.6132</v>
      </c>
      <c r="F73" s="69">
        <f t="shared" si="2"/>
        <v>45.38772</v>
      </c>
    </row>
    <row r="74" spans="1:6" ht="12.75">
      <c r="A74" s="3" t="s">
        <v>1678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VLOOKUP(A74,'IN-12-11'!A75:D949,4,FALSE)</f>
        <v>0.92</v>
      </c>
      <c r="F74" s="69">
        <f t="shared" si="2"/>
        <v>18.400000000000002</v>
      </c>
    </row>
    <row r="75" spans="1:6" ht="12.75">
      <c r="A75" s="3" t="s">
        <v>148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VLOOKUP(A75,'IN-12-11'!A76:D950,4,FALSE)</f>
        <v>50.665</v>
      </c>
      <c r="F75" s="69">
        <f t="shared" si="2"/>
        <v>44.17988</v>
      </c>
    </row>
    <row r="76" spans="1:6" ht="12.75">
      <c r="A76" s="3" t="s">
        <v>1679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VLOOKUP(A76,'IN-12-11'!A44:D44,4,FALSE)</f>
        <v>90.4</v>
      </c>
      <c r="F76" s="69">
        <f t="shared" si="2"/>
        <v>2.9832000000000005</v>
      </c>
    </row>
    <row r="77" spans="1:6" ht="12.75">
      <c r="A77" s="3" t="s">
        <v>1680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VLOOKUP(A77,'IN-12-11'!A42:D42,4,FALSE)</f>
        <v>101</v>
      </c>
      <c r="F77" s="69">
        <f t="shared" si="2"/>
        <v>3.333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1675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VLOOKUP(A79,'IN-12-11'!A80:D954,4,FALSE)</f>
        <v>39.41</v>
      </c>
      <c r="F79" s="69">
        <f>(D79*E79)</f>
        <v>176.5568</v>
      </c>
    </row>
    <row r="80" spans="1:6" ht="12.75">
      <c r="A80" s="82" t="s">
        <v>352</v>
      </c>
      <c r="D80" s="51"/>
      <c r="E80" s="51"/>
      <c r="F80" s="69"/>
    </row>
    <row r="81" spans="1:6" ht="12.75">
      <c r="A81" s="3" t="s">
        <v>1681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VLOOKUP(A81,'IN-12-11'!A82:D956,4,FALSE)</f>
        <v>444.82</v>
      </c>
      <c r="F81" s="69">
        <f>(D81*E81)</f>
        <v>2.2241</v>
      </c>
    </row>
    <row r="82" spans="4:6" ht="13.5" thickBot="1">
      <c r="D82" s="51"/>
      <c r="E82" s="51"/>
      <c r="F82" s="69"/>
    </row>
    <row r="83" spans="1:7" ht="13.5" thickTop="1">
      <c r="A83" s="75" t="s">
        <v>346</v>
      </c>
      <c r="B83" s="391" t="s">
        <v>15</v>
      </c>
      <c r="C83" s="77" t="str">
        <f>Fecha</f>
        <v>NOV/12</v>
      </c>
      <c r="D83" s="48"/>
      <c r="E83" s="48"/>
      <c r="F83" s="392">
        <f>SUM(F85:F94)</f>
        <v>2161.638752</v>
      </c>
      <c r="G83" s="41"/>
    </row>
    <row r="84" spans="1:7" ht="13.5" thickBot="1">
      <c r="A84" s="7" t="s">
        <v>345</v>
      </c>
      <c r="B84" s="7" t="s">
        <v>1724</v>
      </c>
      <c r="C84" s="78" t="s">
        <v>344</v>
      </c>
      <c r="D84" s="49" t="s">
        <v>1930</v>
      </c>
      <c r="E84" s="50"/>
      <c r="F84" s="68"/>
      <c r="G84" s="42" t="s">
        <v>2023</v>
      </c>
    </row>
    <row r="85" spans="1:6" ht="13.5" thickTop="1">
      <c r="A85" s="82" t="s">
        <v>350</v>
      </c>
      <c r="D85" s="51"/>
      <c r="E85" s="51"/>
      <c r="F85" s="69"/>
    </row>
    <row r="86" spans="1:6" ht="12.75">
      <c r="A86" s="3" t="s">
        <v>1677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VLOOKUP(A86,'IN-12-11'!A7:D7,4,FALSE)</f>
        <v>5.6933</v>
      </c>
      <c r="F86" s="69">
        <f aca="true" t="shared" si="5" ref="F86:F91">(D86*E86)</f>
        <v>85.057902</v>
      </c>
    </row>
    <row r="87" spans="1:6" ht="12.75">
      <c r="A87" s="3" t="s">
        <v>1682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VLOOKUP(A87,'IN-12-11'!A9:D9,4,FALSE)</f>
        <v>8.695</v>
      </c>
      <c r="F87" s="69">
        <f t="shared" si="5"/>
        <v>456.4875</v>
      </c>
    </row>
    <row r="88" spans="1:6" ht="12.75">
      <c r="A88" s="3" t="s">
        <v>1678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VLOOKUP(A88,'IN-12-11'!A89:D963,4,FALSE)</f>
        <v>0.92</v>
      </c>
      <c r="F88" s="69">
        <f t="shared" si="5"/>
        <v>289.8</v>
      </c>
    </row>
    <row r="89" spans="1:6" ht="12.75">
      <c r="A89" s="3" t="s">
        <v>1679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VLOOKUP(A89,'IN-12-11'!A44:D44,4,FALSE)</f>
        <v>90.4</v>
      </c>
      <c r="F89" s="69">
        <f t="shared" si="5"/>
        <v>63.28</v>
      </c>
    </row>
    <row r="90" spans="1:6" ht="12.75">
      <c r="A90" s="3" t="s">
        <v>1683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VLOOKUP(A90,'IN-12-11'!A62:D62,4,FALSE)</f>
        <v>7.285</v>
      </c>
      <c r="F90" s="69">
        <f t="shared" si="5"/>
        <v>24.11335</v>
      </c>
    </row>
    <row r="91" spans="1:6" ht="12.75">
      <c r="A91" s="3" t="s">
        <v>1680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VLOOKUP(A91,'IN-12-11'!A42:D42,4,FALSE)</f>
        <v>101</v>
      </c>
      <c r="F91" s="69">
        <f t="shared" si="5"/>
        <v>60.599999999999994</v>
      </c>
    </row>
    <row r="92" spans="1:6" ht="12.75">
      <c r="A92" s="82" t="s">
        <v>351</v>
      </c>
      <c r="D92" s="51"/>
      <c r="E92" s="51"/>
      <c r="F92" s="69"/>
    </row>
    <row r="93" spans="1:6" ht="12.75">
      <c r="A93" s="3" t="s">
        <v>1675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VLOOKUP(A93,'IN-12-11'!A94:D968,4,FALSE)</f>
        <v>39.41</v>
      </c>
      <c r="F93" s="69">
        <f>(D93*E93)</f>
        <v>1182.3</v>
      </c>
    </row>
    <row r="94" spans="1:6" ht="12.75">
      <c r="A94" s="82" t="s">
        <v>352</v>
      </c>
      <c r="D94" s="51"/>
      <c r="E94" s="51"/>
      <c r="F94" s="69"/>
    </row>
    <row r="95" spans="1:6" ht="12.75">
      <c r="A95" s="3" t="s">
        <v>1681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VLOOKUP(A95,'IN-12-11'!A96:D970,4,FALSE)</f>
        <v>444.82</v>
      </c>
      <c r="F95" s="69">
        <f>(D95*E95)</f>
        <v>22.241</v>
      </c>
    </row>
    <row r="96" spans="4:6" ht="13.5" thickBot="1">
      <c r="D96" s="51"/>
      <c r="E96" s="51"/>
      <c r="F96" s="69"/>
    </row>
    <row r="97" spans="1:7" ht="13.5" thickTop="1">
      <c r="A97" s="75" t="s">
        <v>346</v>
      </c>
      <c r="B97" s="391" t="s">
        <v>15</v>
      </c>
      <c r="C97" s="77" t="str">
        <f>Fecha</f>
        <v>NOV/12</v>
      </c>
      <c r="D97" s="48"/>
      <c r="E97" s="48"/>
      <c r="F97" s="392">
        <f>SUM(F99:F108)</f>
        <v>2548.93473</v>
      </c>
      <c r="G97" s="41"/>
    </row>
    <row r="98" spans="1:7" ht="13.5" thickBot="1">
      <c r="A98" s="7" t="s">
        <v>345</v>
      </c>
      <c r="B98" s="7" t="s">
        <v>1724</v>
      </c>
      <c r="C98" s="78" t="s">
        <v>344</v>
      </c>
      <c r="D98" s="49" t="s">
        <v>378</v>
      </c>
      <c r="E98" s="50"/>
      <c r="F98" s="68"/>
      <c r="G98" s="42" t="s">
        <v>2023</v>
      </c>
    </row>
    <row r="99" spans="1:6" ht="13.5" thickTop="1">
      <c r="A99" s="82" t="s">
        <v>350</v>
      </c>
      <c r="D99" s="51"/>
      <c r="E99" s="51"/>
      <c r="F99" s="69"/>
    </row>
    <row r="100" spans="1:6" ht="12.75">
      <c r="A100" s="3" t="s">
        <v>1677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VLOOKUP(A100,'IN-12-11'!A7:D7,4,FALSE)</f>
        <v>5.6933</v>
      </c>
      <c r="F100" s="69">
        <f>(D100*E100)</f>
        <v>692.3052799999999</v>
      </c>
    </row>
    <row r="101" spans="1:6" ht="12.75">
      <c r="A101" s="3" t="s">
        <v>1678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VLOOKUP(A101,'IN-12-11'!A102:D976,4,FALSE)</f>
        <v>0.92</v>
      </c>
      <c r="F101" s="69">
        <f>(D101*E101)</f>
        <v>285.2</v>
      </c>
    </row>
    <row r="102" spans="1:6" ht="12.75">
      <c r="A102" s="3" t="s">
        <v>147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VLOOKUP(A102,'IN-12-11'!A103:D977,4,FALSE)</f>
        <v>57.715</v>
      </c>
      <c r="F102" s="69">
        <f>(D102*E102)</f>
        <v>197.96245000000002</v>
      </c>
    </row>
    <row r="103" spans="1:6" ht="12.75">
      <c r="A103" s="3" t="s">
        <v>1679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VLOOKUP(A103,'IN-12-11'!A44:D44,4,FALSE)</f>
        <v>90.4</v>
      </c>
      <c r="F103" s="69">
        <f>(D103*E103)</f>
        <v>82.26400000000001</v>
      </c>
    </row>
    <row r="104" spans="1:6" ht="12.75">
      <c r="A104" s="3" t="s">
        <v>1680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VLOOKUP(A104,'IN-12-11'!A42:D42,4,FALSE)</f>
        <v>101</v>
      </c>
      <c r="F104" s="69">
        <f>(D104*E104)</f>
        <v>78.78</v>
      </c>
    </row>
    <row r="105" spans="1:6" ht="12.75">
      <c r="A105" s="82" t="s">
        <v>351</v>
      </c>
      <c r="D105" s="51"/>
      <c r="E105" s="51"/>
      <c r="F105" s="69"/>
    </row>
    <row r="106" spans="1:6" ht="12.75">
      <c r="A106" s="3" t="s">
        <v>1675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VLOOKUP(A106,'IN-12-11'!A107:D981,4,FALSE)</f>
        <v>39.41</v>
      </c>
      <c r="F106" s="69">
        <f>(D106*E106)</f>
        <v>1190.1819999999998</v>
      </c>
    </row>
    <row r="107" spans="1:6" ht="12.75">
      <c r="A107" s="82" t="s">
        <v>352</v>
      </c>
      <c r="D107" s="51"/>
      <c r="E107" s="51"/>
      <c r="F107" s="69"/>
    </row>
    <row r="108" spans="1:6" ht="12.75">
      <c r="A108" s="3" t="s">
        <v>1681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VLOOKUP(A108,'IN-12-11'!A109:D983,4,FALSE)</f>
        <v>444.82</v>
      </c>
      <c r="F108" s="69">
        <f>(D108*E108)</f>
        <v>22.241</v>
      </c>
    </row>
    <row r="109" ht="13.5" thickBot="1"/>
    <row r="110" spans="1:7" ht="13.5" thickTop="1">
      <c r="A110" s="75" t="s">
        <v>346</v>
      </c>
      <c r="B110" s="391" t="s">
        <v>15</v>
      </c>
      <c r="C110" s="77" t="str">
        <f>Fecha</f>
        <v>NOV/12</v>
      </c>
      <c r="D110" s="48"/>
      <c r="E110" s="48"/>
      <c r="F110" s="392">
        <f>SUM(F112:F121)</f>
        <v>2864.4119499999997</v>
      </c>
      <c r="G110" s="41"/>
    </row>
    <row r="111" spans="1:7" ht="13.5" thickBot="1">
      <c r="A111" s="7" t="s">
        <v>345</v>
      </c>
      <c r="B111" s="7" t="s">
        <v>1724</v>
      </c>
      <c r="C111" s="78" t="s">
        <v>344</v>
      </c>
      <c r="D111" s="49" t="s">
        <v>380</v>
      </c>
      <c r="E111" s="50"/>
      <c r="F111" s="68"/>
      <c r="G111" s="42" t="s">
        <v>2023</v>
      </c>
    </row>
    <row r="112" spans="1:6" ht="13.5" thickTop="1">
      <c r="A112" s="82" t="s">
        <v>350</v>
      </c>
      <c r="D112" s="51"/>
      <c r="E112" s="51"/>
      <c r="F112" s="69"/>
    </row>
    <row r="113" spans="1:6" ht="12.75">
      <c r="A113" s="3" t="s">
        <v>1677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VLOOKUP(A113,'IN-12-11'!A7:D7,4,FALSE)</f>
        <v>5.6933</v>
      </c>
      <c r="F113" s="69">
        <f>(D113*E113)</f>
        <v>839.19242</v>
      </c>
    </row>
    <row r="114" spans="1:6" ht="12.75">
      <c r="A114" s="3" t="s">
        <v>1678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VLOOKUP(A114,'IN-12-11'!A115:D989,4,FALSE)</f>
        <v>0.92</v>
      </c>
      <c r="F114" s="69">
        <f>(D114*E114)</f>
        <v>285.2</v>
      </c>
    </row>
    <row r="115" spans="1:6" ht="12.75">
      <c r="A115" s="3" t="s">
        <v>147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VLOOKUP(A115,'IN-12-11'!A116:D990,4,FALSE)</f>
        <v>57.715</v>
      </c>
      <c r="F115" s="69">
        <f>(D115*E115)</f>
        <v>112.08253</v>
      </c>
    </row>
    <row r="116" spans="1:6" ht="12.75">
      <c r="A116" s="3" t="s">
        <v>1679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VLOOKUP(A116,'IN-12-11'!A44:D44,4,FALSE)</f>
        <v>90.4</v>
      </c>
      <c r="F116" s="69">
        <f>(D116*E116)</f>
        <v>63.28</v>
      </c>
    </row>
    <row r="117" spans="1:6" ht="12.75">
      <c r="A117" s="3" t="s">
        <v>1680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VLOOKUP(A117,'IN-12-11'!A42:D42,4,FALSE)</f>
        <v>101</v>
      </c>
      <c r="F117" s="69">
        <f>(D117*E117)</f>
        <v>60.599999999999994</v>
      </c>
    </row>
    <row r="118" spans="1:6" ht="12.75">
      <c r="A118" s="82" t="s">
        <v>351</v>
      </c>
      <c r="D118" s="51"/>
      <c r="E118" s="51"/>
      <c r="F118" s="69"/>
    </row>
    <row r="119" spans="1:6" ht="12.75">
      <c r="A119" s="3" t="s">
        <v>1675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VLOOKUP(A119,'IN-12-11'!A120:D994,4,FALSE)</f>
        <v>39.41</v>
      </c>
      <c r="F119" s="69">
        <f>(D119*E119)</f>
        <v>1481.816</v>
      </c>
    </row>
    <row r="120" spans="1:6" ht="12.75">
      <c r="A120" s="82" t="s">
        <v>352</v>
      </c>
      <c r="D120" s="51"/>
      <c r="E120" s="51"/>
      <c r="F120" s="69"/>
    </row>
    <row r="121" spans="1:6" ht="12.75">
      <c r="A121" s="3" t="s">
        <v>1681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VLOOKUP(A121,'IN-12-11'!A110:D110,4,FALSE)</f>
        <v>444.82</v>
      </c>
      <c r="F121" s="69">
        <f>(D121*E121)</f>
        <v>22.241</v>
      </c>
    </row>
    <row r="122" ht="13.5" thickBot="1"/>
    <row r="123" spans="1:7" ht="13.5" thickTop="1">
      <c r="A123" s="75" t="s">
        <v>346</v>
      </c>
      <c r="B123" s="391" t="s">
        <v>15</v>
      </c>
      <c r="C123" s="77" t="str">
        <f>Fecha</f>
        <v>NOV/12</v>
      </c>
      <c r="D123" s="48"/>
      <c r="E123" s="48"/>
      <c r="F123" s="392">
        <f>SUM(F125:F134)</f>
        <v>3286.0825149999996</v>
      </c>
      <c r="G123" s="41"/>
    </row>
    <row r="124" spans="1:7" ht="13.5" thickBot="1">
      <c r="A124" s="7" t="s">
        <v>345</v>
      </c>
      <c r="B124" s="7" t="s">
        <v>1724</v>
      </c>
      <c r="C124" s="78" t="s">
        <v>344</v>
      </c>
      <c r="D124" s="49" t="s">
        <v>382</v>
      </c>
      <c r="E124" s="50"/>
      <c r="F124" s="68"/>
      <c r="G124" s="42" t="s">
        <v>2023</v>
      </c>
    </row>
    <row r="125" spans="1:6" ht="13.5" thickTop="1">
      <c r="A125" s="82" t="s">
        <v>350</v>
      </c>
      <c r="D125" s="51"/>
      <c r="E125" s="51"/>
      <c r="F125" s="69"/>
    </row>
    <row r="126" spans="1:6" ht="12.75">
      <c r="A126" s="3" t="s">
        <v>1677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VLOOKUP(A126,'IN-12-11'!A7:D7,4,FALSE)</f>
        <v>5.6933</v>
      </c>
      <c r="F126" s="69">
        <f>(D126*E126)</f>
        <v>1232.59945</v>
      </c>
    </row>
    <row r="127" spans="1:6" ht="12.75">
      <c r="A127" s="3" t="s">
        <v>1678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VLOOKUP(A127,'IN-12-11'!A128:D1002,4,FALSE)</f>
        <v>0.92</v>
      </c>
      <c r="F127" s="69">
        <f>(D127*E127)</f>
        <v>289.8</v>
      </c>
    </row>
    <row r="128" spans="1:6" ht="12.75">
      <c r="A128" s="3" t="s">
        <v>147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VLOOKUP(A128,'IN-12-11'!A129:D1003,4,FALSE)</f>
        <v>57.715</v>
      </c>
      <c r="F128" s="69">
        <f>(D128*E128)</f>
        <v>149.539565</v>
      </c>
    </row>
    <row r="129" spans="1:6" ht="12.75">
      <c r="A129" s="3" t="s">
        <v>1679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VLOOKUP(A129,'IN-12-11'!A44:D44,4,FALSE)</f>
        <v>90.4</v>
      </c>
      <c r="F129" s="69">
        <f>(D129*E129)</f>
        <v>63.28</v>
      </c>
    </row>
    <row r="130" spans="1:6" ht="12.75">
      <c r="A130" s="3" t="s">
        <v>1680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VLOOKUP(A130,'IN-12-11'!A42:D42,4,FALSE)</f>
        <v>101</v>
      </c>
      <c r="F130" s="69">
        <f>(D130*E130)</f>
        <v>60.599999999999994</v>
      </c>
    </row>
    <row r="131" spans="1:6" ht="12.75">
      <c r="A131" s="82" t="s">
        <v>351</v>
      </c>
      <c r="D131" s="51"/>
      <c r="E131" s="51"/>
      <c r="F131" s="69"/>
    </row>
    <row r="132" spans="1:6" ht="12.75">
      <c r="A132" s="3" t="s">
        <v>1675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VLOOKUP(A132,'IN-12-11'!A133:D1007,4,FALSE)</f>
        <v>39.41</v>
      </c>
      <c r="F132" s="69">
        <f>(D132*E132)</f>
        <v>1468.0224999999998</v>
      </c>
    </row>
    <row r="133" spans="1:6" ht="12.75">
      <c r="A133" s="82" t="s">
        <v>352</v>
      </c>
      <c r="D133" s="51"/>
      <c r="E133" s="51"/>
      <c r="F133" s="69"/>
    </row>
    <row r="134" spans="1:6" ht="12.75">
      <c r="A134" s="3" t="s">
        <v>1681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VLOOKUP(A134,'IN-12-11'!A110:D110,4,FALSE)</f>
        <v>444.82</v>
      </c>
      <c r="F134" s="69">
        <f>(D134*E134)</f>
        <v>22.241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1866</v>
      </c>
      <c r="C2" s="77" t="str">
        <f>Fecha</f>
        <v>NOV/12</v>
      </c>
      <c r="D2" s="48"/>
      <c r="E2" s="48"/>
      <c r="F2" s="392">
        <f>SUM(F4:F12)</f>
        <v>150.558694</v>
      </c>
      <c r="G2" s="41"/>
    </row>
    <row r="3" spans="1:7" ht="13.5" thickBot="1">
      <c r="A3" s="7" t="s">
        <v>345</v>
      </c>
      <c r="B3" s="7" t="s">
        <v>1725</v>
      </c>
      <c r="C3" s="78" t="s">
        <v>344</v>
      </c>
      <c r="D3" s="49" t="s">
        <v>1887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VLOOKUP(A5,'IN-12-11'!A6:D880,4,FALSE)</f>
        <v>1.13</v>
      </c>
      <c r="F5" s="69">
        <f>(D5*E5)</f>
        <v>7.864799999999999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VLOOKUP(A6,'IN-12-11'!A7:D881,4,FALSE)</f>
        <v>0.92</v>
      </c>
      <c r="F6" s="69">
        <f>(D6*E6)</f>
        <v>3.7996</v>
      </c>
    </row>
    <row r="7" spans="1:6" ht="12.75">
      <c r="A7" s="3" t="s">
        <v>1686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VLOOKUP(A7,'IN-12-11'!A8:D882,4,FALSE)</f>
        <v>1200</v>
      </c>
      <c r="F7" s="69">
        <f>(D7*E7)</f>
        <v>66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VLOOKUP(A8,'IN-12-11'!A9:D883,4,FALSE)</f>
        <v>101</v>
      </c>
      <c r="F8" s="69">
        <f>(D8*E8)</f>
        <v>4.747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VLOOKUP(A10,'IN-12-11'!A11:D885,4,FALSE)</f>
        <v>39.41</v>
      </c>
      <c r="F10" s="69">
        <f>(D10*E10)</f>
        <v>67.3911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1681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VLOOKUP(A12,'IN-12-11'!A13:D887,4,FALSE)</f>
        <v>444.82</v>
      </c>
      <c r="F12" s="69">
        <f>(D12*E12)</f>
        <v>0.7561939999999999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391" t="s">
        <v>1890</v>
      </c>
      <c r="C14" s="77" t="str">
        <f>Fecha</f>
        <v>NOV/12</v>
      </c>
      <c r="D14" s="48"/>
      <c r="E14" s="48"/>
      <c r="F14" s="392">
        <f>SUM(F16:F24)</f>
        <v>1066.223388</v>
      </c>
      <c r="G14" s="41"/>
    </row>
    <row r="15" spans="1:7" ht="13.5" thickBot="1">
      <c r="A15" s="7" t="s">
        <v>345</v>
      </c>
      <c r="B15" s="7" t="s">
        <v>1725</v>
      </c>
      <c r="C15" s="78" t="s">
        <v>344</v>
      </c>
      <c r="D15" s="49" t="s">
        <v>1886</v>
      </c>
      <c r="E15" s="50"/>
      <c r="F15" s="68"/>
      <c r="G15" s="42" t="s">
        <v>2023</v>
      </c>
    </row>
    <row r="16" spans="1:6" ht="13.5" thickTop="1">
      <c r="A16" s="82" t="s">
        <v>350</v>
      </c>
      <c r="D16" s="51"/>
      <c r="E16" s="51"/>
      <c r="F16" s="69"/>
    </row>
    <row r="17" spans="1:6" ht="12.75">
      <c r="A17" s="3" t="s">
        <v>1685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VLOOKUP(A17,'IN-12-11'!A18:D892,4,FALSE)</f>
        <v>1.13</v>
      </c>
      <c r="F17" s="69">
        <f>(D17*E17)</f>
        <v>65.088</v>
      </c>
    </row>
    <row r="18" spans="1:6" ht="12.75">
      <c r="A18" s="3" t="s">
        <v>1678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VLOOKUP(A18,'IN-12-11'!A19:D893,4,FALSE)</f>
        <v>0.92</v>
      </c>
      <c r="F18" s="69">
        <f>(D18*E18)</f>
        <v>31.464000000000006</v>
      </c>
    </row>
    <row r="19" spans="1:6" ht="12.75">
      <c r="A19" s="3" t="s">
        <v>1686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VLOOKUP(A19,'IN-12-11'!A20:D894,4,FALSE)</f>
        <v>1200</v>
      </c>
      <c r="F19" s="69">
        <f>(D19*E19)</f>
        <v>480</v>
      </c>
    </row>
    <row r="20" spans="1:6" ht="12.75">
      <c r="A20" s="3" t="s">
        <v>1680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VLOOKUP(A20,'IN-12-11'!A21:D895,4,FALSE)</f>
        <v>101</v>
      </c>
      <c r="F20" s="69">
        <f>(D20*E20)</f>
        <v>38.885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VLOOKUP(A22,'IN-12-11'!A23:D897,4,FALSE)</f>
        <v>39.41</v>
      </c>
      <c r="F22" s="69">
        <f>(D22*E22)</f>
        <v>449.274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1681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VLOOKUP(A24,'IN-12-11'!A25:D899,4,FALSE)</f>
        <v>444.82</v>
      </c>
      <c r="F24" s="69">
        <f>(D24*E24)</f>
        <v>1.5123879999999998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346</v>
      </c>
      <c r="B26" s="391" t="s">
        <v>1891</v>
      </c>
      <c r="C26" s="77" t="str">
        <f>Fecha</f>
        <v>NOV/12</v>
      </c>
      <c r="D26" s="48" t="s">
        <v>1937</v>
      </c>
      <c r="E26" s="48"/>
      <c r="F26" s="392">
        <f>SUM(F28:F36)</f>
        <v>1158.641788</v>
      </c>
      <c r="G26" s="41"/>
    </row>
    <row r="27" spans="1:7" ht="13.5" thickBot="1">
      <c r="A27" s="7" t="s">
        <v>345</v>
      </c>
      <c r="B27" s="7" t="s">
        <v>1725</v>
      </c>
      <c r="C27" s="78" t="s">
        <v>344</v>
      </c>
      <c r="D27" s="49" t="s">
        <v>1889</v>
      </c>
      <c r="E27" s="50"/>
      <c r="F27" s="68"/>
      <c r="G27" s="42" t="s">
        <v>2023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VLOOKUP(A29,'IN-12-11'!A30:D904,4,FALSE)</f>
        <v>1.13</v>
      </c>
      <c r="F29" s="69">
        <f>(D29*E29)</f>
        <v>65.088</v>
      </c>
    </row>
    <row r="30" spans="1:6" ht="12.75">
      <c r="A30" s="3" t="s">
        <v>1678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VLOOKUP(A30,'IN-12-11'!A31:D905,4,FALSE)</f>
        <v>0.92</v>
      </c>
      <c r="F30" s="69">
        <f>(D30*E30)</f>
        <v>35.604000000000006</v>
      </c>
    </row>
    <row r="31" spans="1:6" ht="12.75">
      <c r="A31" s="3" t="s">
        <v>1686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VLOOKUP(A31,'IN-12-11'!A32:D906,4,FALSE)</f>
        <v>1200</v>
      </c>
      <c r="F31" s="69">
        <f>(D31*E31)</f>
        <v>480</v>
      </c>
    </row>
    <row r="32" spans="1:6" ht="12.75">
      <c r="A32" s="3" t="s">
        <v>1680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VLOOKUP(A32,'IN-12-11'!A33:D907,4,FALSE)</f>
        <v>101</v>
      </c>
      <c r="F32" s="69">
        <f>(D32*E32)</f>
        <v>38.885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VLOOKUP(A34,'IN-12-11'!A35:D909,4,FALSE)</f>
        <v>39.41</v>
      </c>
      <c r="F34" s="69">
        <f>(D34*E34)</f>
        <v>537.5523999999999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VLOOKUP(A36,'IN-12-11'!A37:D911,4,FALSE)</f>
        <v>444.82</v>
      </c>
      <c r="F36" s="69">
        <f>(D36*E36)</f>
        <v>1.5123879999999998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391" t="s">
        <v>1855</v>
      </c>
      <c r="C38" s="77" t="str">
        <f>Fecha</f>
        <v>NOV/12</v>
      </c>
      <c r="D38" s="48"/>
      <c r="E38" s="48"/>
      <c r="F38" s="392">
        <f>SUM(F40:F49)</f>
        <v>86.99241</v>
      </c>
      <c r="G38" s="41"/>
    </row>
    <row r="39" spans="1:7" ht="13.5" thickBot="1">
      <c r="A39" s="7" t="s">
        <v>345</v>
      </c>
      <c r="B39" s="7" t="s">
        <v>1725</v>
      </c>
      <c r="C39" s="78" t="s">
        <v>344</v>
      </c>
      <c r="D39" s="49" t="s">
        <v>1860</v>
      </c>
      <c r="E39" s="50"/>
      <c r="F39" s="68"/>
      <c r="G39" s="42" t="s">
        <v>1976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VLOOKUP(A41,'IN-12-11'!A7:D7,4,FALSE)</f>
        <v>5.6933</v>
      </c>
      <c r="F41" s="69">
        <f>(D41*E41)</f>
        <v>1.70799</v>
      </c>
    </row>
    <row r="42" spans="1:6" ht="12.75">
      <c r="A42" s="3" t="s">
        <v>1685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VLOOKUP(A42,'IN-12-11'!A43:D917,4,FALSE)</f>
        <v>1.13</v>
      </c>
      <c r="F42" s="69">
        <f>(D42*E42)</f>
        <v>2.3504</v>
      </c>
    </row>
    <row r="43" spans="1:6" ht="12.75">
      <c r="A43" s="3" t="s">
        <v>1678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VLOOKUP(A43,'IN-12-11'!A44:D918,4,FALSE)</f>
        <v>0.92</v>
      </c>
      <c r="F43" s="69">
        <f>(D43*E43)</f>
        <v>2.1252</v>
      </c>
    </row>
    <row r="44" spans="1:6" ht="12.75">
      <c r="A44" s="3" t="s">
        <v>1687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VLOOKUP(A44,'IN-12-11'!A45:D919,4,FALSE)</f>
        <v>2.1</v>
      </c>
      <c r="F44" s="69">
        <f>(D44*E44)</f>
        <v>35.7</v>
      </c>
    </row>
    <row r="45" spans="1:6" ht="12.75">
      <c r="A45" s="3" t="s">
        <v>1680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VLOOKUP(A45,'IN-12-11'!A42:D42,4,FALSE)</f>
        <v>101</v>
      </c>
      <c r="F45" s="69">
        <f>(D45*E45)</f>
        <v>1.313</v>
      </c>
    </row>
    <row r="46" spans="1:6" ht="12.75">
      <c r="A46" s="82" t="s">
        <v>351</v>
      </c>
      <c r="D46" s="51"/>
      <c r="E46" s="51"/>
      <c r="F46" s="69"/>
    </row>
    <row r="47" spans="1:6" ht="12.75">
      <c r="A47" s="3" t="s">
        <v>1675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VLOOKUP(A47,'IN-12-11'!A48:D922,4,FALSE)</f>
        <v>39.41</v>
      </c>
      <c r="F47" s="69">
        <f>(D47*E47)</f>
        <v>43.351</v>
      </c>
    </row>
    <row r="48" spans="1:6" ht="12.75">
      <c r="A48" s="82" t="s">
        <v>352</v>
      </c>
      <c r="D48" s="51"/>
      <c r="E48" s="51"/>
      <c r="F48" s="69"/>
    </row>
    <row r="49" spans="1:6" ht="12.75">
      <c r="A49" s="3" t="s">
        <v>1681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VLOOKUP(A49,'IN-12-11'!A50:D924,4,FALSE)</f>
        <v>444.82</v>
      </c>
      <c r="F49" s="69">
        <f>(D49*E49)</f>
        <v>0.44482</v>
      </c>
    </row>
    <row r="50" spans="4:6" ht="13.5" thickBot="1">
      <c r="D50" s="51"/>
      <c r="E50" s="51"/>
      <c r="F50" s="69"/>
    </row>
    <row r="51" spans="1:7" ht="13.5" thickTop="1">
      <c r="A51" s="75" t="s">
        <v>346</v>
      </c>
      <c r="B51" s="391" t="s">
        <v>1864</v>
      </c>
      <c r="C51" s="77" t="str">
        <f>Fecha</f>
        <v>NOV/12</v>
      </c>
      <c r="D51" s="48"/>
      <c r="E51" s="48"/>
      <c r="F51" s="392">
        <f>SUM(F53:F61)</f>
        <v>107.82143</v>
      </c>
      <c r="G51" s="41"/>
    </row>
    <row r="52" spans="1:7" ht="13.5" thickBot="1">
      <c r="A52" s="7" t="s">
        <v>345</v>
      </c>
      <c r="B52" s="7" t="s">
        <v>1725</v>
      </c>
      <c r="C52" s="78" t="s">
        <v>344</v>
      </c>
      <c r="D52" s="49" t="s">
        <v>1861</v>
      </c>
      <c r="E52" s="50"/>
      <c r="F52" s="68"/>
      <c r="G52" s="42" t="s">
        <v>1976</v>
      </c>
    </row>
    <row r="53" spans="1:6" ht="13.5" thickTop="1">
      <c r="A53" s="82" t="s">
        <v>350</v>
      </c>
      <c r="D53" s="51"/>
      <c r="E53" s="51"/>
      <c r="F53" s="69"/>
    </row>
    <row r="54" spans="1:6" ht="12.75">
      <c r="A54" s="3" t="s">
        <v>1685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VLOOKUP(A54,'IN-12-11'!A55:D929,4,FALSE)</f>
        <v>1.13</v>
      </c>
      <c r="F54" s="69">
        <f>(D54*E54)</f>
        <v>3.2657</v>
      </c>
    </row>
    <row r="55" spans="1:6" ht="12.75">
      <c r="A55" s="3" t="s">
        <v>1678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VLOOKUP(A55,'IN-12-11'!A56:D930,4,FALSE)</f>
        <v>0.92</v>
      </c>
      <c r="F55" s="69">
        <f>(D55*E55)</f>
        <v>3.036</v>
      </c>
    </row>
    <row r="56" spans="1:6" ht="12.75">
      <c r="A56" s="3" t="s">
        <v>63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VLOOKUP(A56,'IN-12-11'!A57:D931,4,FALSE)</f>
        <v>2.69</v>
      </c>
      <c r="F56" s="69">
        <f>(D56*E56)</f>
        <v>45.73</v>
      </c>
    </row>
    <row r="57" spans="1:6" ht="12.75">
      <c r="A57" s="3" t="s">
        <v>1680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VLOOKUP(A57,'IN-12-11'!A42:D42,4,FALSE)</f>
        <v>101</v>
      </c>
      <c r="F57" s="69">
        <f>(D57*E57)</f>
        <v>1.919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VLOOKUP(A59,'IN-12-11'!A60:D934,4,FALSE)</f>
        <v>39.41</v>
      </c>
      <c r="F59" s="69">
        <f>(D59*E59)</f>
        <v>53.2035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1681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VLOOKUP(A61,'IN-12-11'!A62:D936,4,FALSE)</f>
        <v>444.82</v>
      </c>
      <c r="F61" s="69">
        <f>(D61*E61)</f>
        <v>0.66723</v>
      </c>
    </row>
    <row r="62" spans="4:6" ht="13.5" thickBot="1">
      <c r="D62" s="51"/>
      <c r="E62" s="51"/>
      <c r="F62" s="69"/>
    </row>
    <row r="63" spans="1:7" ht="13.5" thickTop="1">
      <c r="A63" s="75" t="s">
        <v>346</v>
      </c>
      <c r="B63" s="391" t="s">
        <v>1865</v>
      </c>
      <c r="C63" s="77" t="str">
        <f>Fecha</f>
        <v>NOV/12</v>
      </c>
      <c r="D63" s="48"/>
      <c r="E63" s="48"/>
      <c r="F63" s="392">
        <f>SUM(F65:F73)</f>
        <v>131.39564000000001</v>
      </c>
      <c r="G63" s="41"/>
    </row>
    <row r="64" spans="1:7" ht="13.5" thickBot="1">
      <c r="A64" s="7" t="s">
        <v>345</v>
      </c>
      <c r="B64" s="7" t="s">
        <v>1725</v>
      </c>
      <c r="C64" s="78" t="s">
        <v>344</v>
      </c>
      <c r="D64" s="49" t="s">
        <v>1862</v>
      </c>
      <c r="E64" s="50"/>
      <c r="F64" s="68"/>
      <c r="G64" s="42" t="s">
        <v>1976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VLOOKUP(A66,'IN-12-11'!A67:D941,4,FALSE)</f>
        <v>1.13</v>
      </c>
      <c r="F66" s="69">
        <f>(D66*E66)</f>
        <v>4.7459999999999996</v>
      </c>
    </row>
    <row r="67" spans="1:6" ht="12.75">
      <c r="A67" s="3" t="s">
        <v>1678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VLOOKUP(A67,'IN-12-11'!A68:D942,4,FALSE)</f>
        <v>0.92</v>
      </c>
      <c r="F67" s="69">
        <f>(D67*E67)</f>
        <v>2.208</v>
      </c>
    </row>
    <row r="68" spans="1:6" ht="12.75">
      <c r="A68" s="3" t="s">
        <v>1863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VLOOKUP(A68,'IN-12-11'!A69:D943,4,FALSE)</f>
        <v>3.63</v>
      </c>
      <c r="F68" s="69">
        <f>(D68*E68)</f>
        <v>61.71</v>
      </c>
    </row>
    <row r="69" spans="1:6" ht="12.75">
      <c r="A69" s="3" t="s">
        <v>1680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VLOOKUP(A69,'IN-12-11'!A42:D42,4,FALSE)</f>
        <v>101</v>
      </c>
      <c r="F69" s="69">
        <f>(D69*E69)</f>
        <v>2.727</v>
      </c>
    </row>
    <row r="70" spans="1:6" ht="12.75">
      <c r="A70" s="82" t="s">
        <v>351</v>
      </c>
      <c r="D70" s="51"/>
      <c r="E70" s="51"/>
      <c r="F70" s="69"/>
    </row>
    <row r="71" spans="1:6" ht="12.75">
      <c r="A71" s="3" t="s">
        <v>1675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VLOOKUP(A71,'IN-12-11'!A72:D946,4,FALSE)</f>
        <v>39.41</v>
      </c>
      <c r="F71" s="69">
        <f>(D71*E71)</f>
        <v>59.114999999999995</v>
      </c>
    </row>
    <row r="72" spans="1:6" ht="12.75">
      <c r="A72" s="82" t="s">
        <v>352</v>
      </c>
      <c r="D72" s="51"/>
      <c r="E72" s="51"/>
      <c r="F72" s="69"/>
    </row>
    <row r="73" spans="1:6" ht="12.75">
      <c r="A73" s="3" t="s">
        <v>1681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VLOOKUP(A73,'IN-12-11'!A74:D948,4,FALSE)</f>
        <v>444.82</v>
      </c>
      <c r="F73" s="69">
        <f>(D73*E73)</f>
        <v>0.88964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346</v>
      </c>
      <c r="B75" s="391" t="s">
        <v>1909</v>
      </c>
      <c r="C75" s="77" t="str">
        <f>Fecha</f>
        <v>NOV/12</v>
      </c>
      <c r="D75" s="48"/>
      <c r="E75" s="48"/>
      <c r="F75" s="392">
        <f>SUM(F77:F85)</f>
        <v>128.96564</v>
      </c>
      <c r="G75" s="41"/>
    </row>
    <row r="76" spans="1:7" ht="13.5" thickBot="1">
      <c r="A76" s="7" t="s">
        <v>345</v>
      </c>
      <c r="B76" s="7" t="s">
        <v>1725</v>
      </c>
      <c r="C76" s="78" t="s">
        <v>344</v>
      </c>
      <c r="D76" s="49" t="s">
        <v>1957</v>
      </c>
      <c r="E76" s="50"/>
      <c r="F76" s="68"/>
      <c r="G76" s="42" t="s">
        <v>1976</v>
      </c>
    </row>
    <row r="77" spans="1:6" ht="13.5" thickTop="1">
      <c r="A77" s="82" t="s">
        <v>350</v>
      </c>
      <c r="D77" s="51"/>
      <c r="E77" s="51"/>
      <c r="F77" s="69"/>
    </row>
    <row r="78" spans="1:6" ht="12.75">
      <c r="A78" s="3" t="s">
        <v>1685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VLOOKUP(A78,'IN-12-11'!A79:D953,4,FALSE)</f>
        <v>1.13</v>
      </c>
      <c r="F78" s="69">
        <f>(D78*E78)</f>
        <v>4.7459999999999996</v>
      </c>
    </row>
    <row r="79" spans="1:6" ht="12.75">
      <c r="A79" s="3" t="s">
        <v>1678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VLOOKUP(A79,'IN-12-11'!A80:D954,4,FALSE)</f>
        <v>0.92</v>
      </c>
      <c r="F79" s="69">
        <f>(D79*E79)</f>
        <v>2.208</v>
      </c>
    </row>
    <row r="80" spans="1:6" ht="12.75">
      <c r="A80" s="3" t="s">
        <v>1910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VLOOKUP(A80,'IN-12-11'!A81:D955,4,FALSE)</f>
        <v>4.94</v>
      </c>
      <c r="F80" s="69">
        <f>(D80*E80)</f>
        <v>59.28</v>
      </c>
    </row>
    <row r="81" spans="1:6" ht="12.75">
      <c r="A81" s="3" t="s">
        <v>1680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VLOOKUP(A81,'IN-12-11'!A42:D42,4,FALSE)</f>
        <v>101</v>
      </c>
      <c r="F81" s="69">
        <f>(D81*E81)</f>
        <v>2.727</v>
      </c>
    </row>
    <row r="82" spans="1:6" ht="12.75">
      <c r="A82" s="82" t="s">
        <v>351</v>
      </c>
      <c r="D82" s="51"/>
      <c r="E82" s="51"/>
      <c r="F82" s="69"/>
    </row>
    <row r="83" spans="1:6" ht="12.75">
      <c r="A83" s="3" t="s">
        <v>1675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VLOOKUP(A83,'IN-12-11'!A84:D958,4,FALSE)</f>
        <v>39.41</v>
      </c>
      <c r="F83" s="69">
        <f>(D83*E83)</f>
        <v>59.114999999999995</v>
      </c>
    </row>
    <row r="84" spans="1:6" ht="12.75">
      <c r="A84" s="82" t="s">
        <v>352</v>
      </c>
      <c r="D84" s="51"/>
      <c r="E84" s="51"/>
      <c r="F84" s="69"/>
    </row>
    <row r="85" spans="1:6" ht="12.75">
      <c r="A85" s="3" t="s">
        <v>1681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VLOOKUP(A85,'IN-12-11'!A86:D960,4,FALSE)</f>
        <v>444.82</v>
      </c>
      <c r="F85" s="69">
        <f>(D85*E85)</f>
        <v>0.88964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346</v>
      </c>
      <c r="B87" s="391" t="s">
        <v>1892</v>
      </c>
      <c r="C87" s="77" t="str">
        <f>Fecha</f>
        <v>NOV/12</v>
      </c>
      <c r="D87" s="48"/>
      <c r="E87" s="48"/>
      <c r="F87" s="392">
        <f>SUM(F89:F97)</f>
        <v>164.52250599999996</v>
      </c>
      <c r="G87" s="41"/>
    </row>
    <row r="88" spans="1:7" ht="13.5" thickBot="1">
      <c r="A88" s="7" t="s">
        <v>345</v>
      </c>
      <c r="B88" s="7" t="s">
        <v>1725</v>
      </c>
      <c r="C88" s="78" t="s">
        <v>344</v>
      </c>
      <c r="D88" s="49" t="s">
        <v>1888</v>
      </c>
      <c r="E88" s="50"/>
      <c r="F88" s="68"/>
      <c r="G88" s="42" t="s">
        <v>1976</v>
      </c>
    </row>
    <row r="89" spans="1:6" ht="13.5" thickTop="1">
      <c r="A89" s="82" t="s">
        <v>350</v>
      </c>
      <c r="D89" s="51"/>
      <c r="E89" s="51"/>
      <c r="F89" s="69"/>
    </row>
    <row r="90" spans="1:6" ht="12.75">
      <c r="A90" s="3" t="s">
        <v>1685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VLOOKUP(A90,'IN-12-11'!A91:D965,4,FALSE)</f>
        <v>1.13</v>
      </c>
      <c r="F90" s="69">
        <f>(D90*E90)</f>
        <v>2.27695</v>
      </c>
    </row>
    <row r="91" spans="1:6" ht="12.75">
      <c r="A91" s="3" t="s">
        <v>1678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VLOOKUP(A91,'IN-12-11'!A92:D966,4,FALSE)</f>
        <v>0.92</v>
      </c>
      <c r="F91" s="69">
        <f>(D91*E91)</f>
        <v>2.1325600000000002</v>
      </c>
    </row>
    <row r="92" spans="1:6" ht="12.75">
      <c r="A92" s="3" t="s">
        <v>1688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VLOOKUP(A92,'IN-12-11'!A54:D54,4,FALSE)</f>
        <v>7.02</v>
      </c>
      <c r="F92" s="69">
        <f>(D92*E92)</f>
        <v>91.25999999999999</v>
      </c>
    </row>
    <row r="93" spans="1:6" ht="12.75">
      <c r="A93" s="3" t="s">
        <v>1680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VLOOKUP(A93,'IN-12-11'!A42:D42,4,FALSE)</f>
        <v>101</v>
      </c>
      <c r="F93" s="69">
        <f>(D93*E93)</f>
        <v>1.313</v>
      </c>
    </row>
    <row r="94" spans="1:6" ht="12.75">
      <c r="A94" s="82" t="s">
        <v>351</v>
      </c>
      <c r="D94" s="51"/>
      <c r="E94" s="51"/>
      <c r="F94" s="69"/>
    </row>
    <row r="95" spans="1:6" ht="12.75">
      <c r="A95" s="3" t="s">
        <v>1675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VLOOKUP(A95,'IN-12-11'!A96:D970,4,FALSE)</f>
        <v>39.41</v>
      </c>
      <c r="F95" s="69">
        <f>(D95*E95)</f>
        <v>55.17399999999999</v>
      </c>
    </row>
    <row r="96" spans="1:6" ht="12.75">
      <c r="A96" s="82" t="s">
        <v>352</v>
      </c>
      <c r="D96" s="51"/>
      <c r="E96" s="51"/>
      <c r="F96" s="69"/>
    </row>
    <row r="97" spans="1:6" ht="12.75">
      <c r="A97" s="3" t="s">
        <v>1681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VLOOKUP(A97,'IN-12-11'!A98:D972,4,FALSE)</f>
        <v>444.82</v>
      </c>
      <c r="F97" s="69">
        <f>(D97*E97)</f>
        <v>12.365995999999999</v>
      </c>
    </row>
    <row r="98" ht="13.5" thickBot="1"/>
    <row r="99" spans="1:7" ht="13.5" thickTop="1">
      <c r="A99" s="75" t="s">
        <v>346</v>
      </c>
      <c r="B99" s="391" t="s">
        <v>377</v>
      </c>
      <c r="C99" s="77" t="str">
        <f>Fecha</f>
        <v>NOV/12</v>
      </c>
      <c r="D99" s="48" t="s">
        <v>1937</v>
      </c>
      <c r="E99" s="48"/>
      <c r="F99" s="392">
        <f>SUM(F101:F110)</f>
        <v>1268.847048</v>
      </c>
      <c r="G99" s="41"/>
    </row>
    <row r="100" spans="1:7" ht="13.5" thickBot="1">
      <c r="A100" s="7" t="s">
        <v>345</v>
      </c>
      <c r="B100" s="7" t="s">
        <v>1725</v>
      </c>
      <c r="C100" s="78" t="s">
        <v>344</v>
      </c>
      <c r="D100" s="49" t="s">
        <v>390</v>
      </c>
      <c r="E100" s="50"/>
      <c r="F100" s="68"/>
      <c r="G100" s="42" t="s">
        <v>2023</v>
      </c>
    </row>
    <row r="101" spans="1:6" ht="13.5" thickTop="1">
      <c r="A101" s="82" t="s">
        <v>350</v>
      </c>
      <c r="D101" s="51"/>
      <c r="E101" s="51"/>
      <c r="F101" s="69"/>
    </row>
    <row r="102" spans="1:6" ht="12.75">
      <c r="A102" s="3" t="s">
        <v>1685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VLOOKUP(A102,'IN-12-11'!A103:D977,4,FALSE)</f>
        <v>1.13</v>
      </c>
      <c r="F102" s="69">
        <f>(D102*E102)</f>
        <v>65.088</v>
      </c>
    </row>
    <row r="103" spans="1:6" ht="12.75">
      <c r="A103" s="3" t="s">
        <v>1678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VLOOKUP(A103,'IN-12-11'!A104:D978,4,FALSE)</f>
        <v>0.92</v>
      </c>
      <c r="F103" s="69">
        <f>(D103*E103)</f>
        <v>54.464000000000006</v>
      </c>
    </row>
    <row r="104" spans="1:6" ht="12.75">
      <c r="A104" s="3" t="s">
        <v>1677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VLOOKUP(A104,'IN-12-11'!A7:D7,4,FALSE)</f>
        <v>5.6933</v>
      </c>
      <c r="F104" s="69">
        <f>(D104*E104)</f>
        <v>12.525260000000001</v>
      </c>
    </row>
    <row r="105" spans="1:6" ht="12.75">
      <c r="A105" s="3" t="s">
        <v>1686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VLOOKUP(A105,'IN-12-11'!A106:D980,4,FALSE)</f>
        <v>1200</v>
      </c>
      <c r="F105" s="69">
        <f>(D105*E105)</f>
        <v>480</v>
      </c>
    </row>
    <row r="106" spans="1:6" ht="12.75">
      <c r="A106" s="3" t="s">
        <v>1680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VLOOKUP(A106,'IN-12-11'!A42:D42,4,FALSE)</f>
        <v>101</v>
      </c>
      <c r="F106" s="69">
        <f>(D106*E106)</f>
        <v>38.885</v>
      </c>
    </row>
    <row r="107" spans="1:6" ht="12.75">
      <c r="A107" s="82" t="s">
        <v>351</v>
      </c>
      <c r="D107" s="51"/>
      <c r="E107" s="51"/>
      <c r="F107" s="69"/>
    </row>
    <row r="108" spans="1:6" ht="12.75">
      <c r="A108" s="3" t="s">
        <v>1675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VLOOKUP(A108,'IN-12-11'!A109:D983,4,FALSE)</f>
        <v>39.41</v>
      </c>
      <c r="F108" s="69">
        <f>(D108*E108)</f>
        <v>616.3724</v>
      </c>
    </row>
    <row r="109" spans="1:6" ht="12.75">
      <c r="A109" s="82" t="s">
        <v>352</v>
      </c>
      <c r="D109" s="51"/>
      <c r="E109" s="51"/>
      <c r="F109" s="69"/>
    </row>
    <row r="110" spans="1:6" ht="12.75">
      <c r="A110" s="3" t="s">
        <v>1681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VLOOKUP(A110,'IN-12-11'!A110:D110,4,FALSE)</f>
        <v>444.82</v>
      </c>
      <c r="F110" s="69">
        <f>(D110*E110)</f>
        <v>1.5123879999999998</v>
      </c>
    </row>
    <row r="111" ht="13.5" thickBot="1"/>
    <row r="112" spans="1:7" ht="13.5" thickTop="1">
      <c r="A112" s="75" t="s">
        <v>346</v>
      </c>
      <c r="B112" s="391" t="s">
        <v>391</v>
      </c>
      <c r="C112" s="77" t="str">
        <f>Fecha</f>
        <v>NOV/12</v>
      </c>
      <c r="D112" s="48" t="s">
        <v>1937</v>
      </c>
      <c r="E112" s="48"/>
      <c r="F112" s="392">
        <f>SUM(F114:F125)</f>
        <v>1277.879188</v>
      </c>
      <c r="G112" s="41"/>
    </row>
    <row r="113" spans="1:7" ht="13.5" thickBot="1">
      <c r="A113" s="7" t="s">
        <v>345</v>
      </c>
      <c r="B113" s="7" t="s">
        <v>1725</v>
      </c>
      <c r="C113" s="78" t="s">
        <v>344</v>
      </c>
      <c r="D113" s="49" t="s">
        <v>389</v>
      </c>
      <c r="E113" s="50"/>
      <c r="F113" s="68"/>
      <c r="G113" s="42" t="s">
        <v>2023</v>
      </c>
    </row>
    <row r="114" spans="1:6" ht="13.5" thickTop="1">
      <c r="A114" s="82" t="s">
        <v>350</v>
      </c>
      <c r="D114" s="51"/>
      <c r="E114" s="51"/>
      <c r="F114" s="69"/>
    </row>
    <row r="115" spans="1:6" ht="12.75">
      <c r="A115" s="2" t="s">
        <v>1684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VLOOKUP(A115,'IN-12-11'!A39:D39,4,FALSE)</f>
        <v>7.85</v>
      </c>
      <c r="F115" s="69">
        <f aca="true" t="shared" si="2" ref="F115:F121">(D115*E115)</f>
        <v>4.42897</v>
      </c>
    </row>
    <row r="116" spans="1:6" ht="12.75">
      <c r="A116" s="2" t="s">
        <v>1696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VLOOKUP(A116,'IN-12-11'!A63:D63,4,FALSE)</f>
        <v>118.03</v>
      </c>
      <c r="F116" s="69">
        <f t="shared" si="2"/>
        <v>4.60317</v>
      </c>
    </row>
    <row r="117" spans="1:6" ht="12.75">
      <c r="A117" s="3" t="s">
        <v>1685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VLOOKUP(A117,'IN-12-11'!A118:D992,4,FALSE)</f>
        <v>1.13</v>
      </c>
      <c r="F117" s="69">
        <f t="shared" si="2"/>
        <v>65.088</v>
      </c>
    </row>
    <row r="118" spans="1:6" ht="12.75">
      <c r="A118" s="3" t="s">
        <v>1678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VLOOKUP(A118,'IN-12-11'!A119:D993,4,FALSE)</f>
        <v>0.92</v>
      </c>
      <c r="F118" s="69">
        <f t="shared" si="2"/>
        <v>54.464000000000006</v>
      </c>
    </row>
    <row r="119" spans="1:6" ht="12.75">
      <c r="A119" s="3" t="s">
        <v>1677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VLOOKUP(A119,'IN-12-11'!A7:D7,4,FALSE)</f>
        <v>5.6933</v>
      </c>
      <c r="F119" s="69">
        <f t="shared" si="2"/>
        <v>12.525260000000001</v>
      </c>
    </row>
    <row r="120" spans="1:6" ht="12.75">
      <c r="A120" s="3" t="s">
        <v>1686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VLOOKUP(A120,'IN-12-11'!A121:D995,4,FALSE)</f>
        <v>1200</v>
      </c>
      <c r="F120" s="69">
        <f t="shared" si="2"/>
        <v>480</v>
      </c>
    </row>
    <row r="121" spans="1:6" ht="12.75">
      <c r="A121" s="3" t="s">
        <v>1680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VLOOKUP(A121,'IN-12-11'!A42:D42,4,FALSE)</f>
        <v>101</v>
      </c>
      <c r="F121" s="69">
        <f t="shared" si="2"/>
        <v>38.885</v>
      </c>
    </row>
    <row r="122" spans="1:6" ht="12.75">
      <c r="A122" s="82" t="s">
        <v>351</v>
      </c>
      <c r="D122" s="51"/>
      <c r="E122" s="51"/>
      <c r="F122" s="69"/>
    </row>
    <row r="123" spans="1:6" ht="12.75">
      <c r="A123" s="3" t="s">
        <v>1675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VLOOKUP(A123,'IN-12-11'!A124:D998,4,FALSE)</f>
        <v>39.41</v>
      </c>
      <c r="F123" s="69">
        <f>(D123*E123)</f>
        <v>616.3724</v>
      </c>
    </row>
    <row r="124" spans="1:6" ht="12.75">
      <c r="A124" s="82" t="s">
        <v>352</v>
      </c>
      <c r="D124" s="51"/>
      <c r="E124" s="51"/>
      <c r="F124" s="69"/>
    </row>
    <row r="125" spans="1:6" ht="12.75">
      <c r="A125" s="3" t="s">
        <v>1681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VLOOKUP(A125,'IN-12-11'!A110:D110,4,FALSE)</f>
        <v>444.82</v>
      </c>
      <c r="F125" s="69">
        <f>(D125*E125)</f>
        <v>1.5123879999999998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F17" sqref="F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1867</v>
      </c>
      <c r="C2" s="77" t="str">
        <f>Fecha</f>
        <v>NOV/12</v>
      </c>
      <c r="D2" s="48"/>
      <c r="E2" s="48"/>
      <c r="F2" s="392">
        <f>SUM(F4:F13)</f>
        <v>41.316952199999996</v>
      </c>
      <c r="G2" s="41"/>
    </row>
    <row r="3" spans="1:7" ht="13.5" thickBot="1">
      <c r="A3" s="7" t="s">
        <v>345</v>
      </c>
      <c r="B3" s="7" t="s">
        <v>1726</v>
      </c>
      <c r="C3" s="78" t="s">
        <v>344</v>
      </c>
      <c r="D3" s="49" t="s">
        <v>1773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VLOOKUP(A5,'IN-12-11'!A244:D244,4,FALSE)</f>
        <v>0.92</v>
      </c>
      <c r="F5" s="69">
        <f>(D5*E5)</f>
        <v>9.200000000000001</v>
      </c>
    </row>
    <row r="6" spans="1:6" ht="12.75">
      <c r="A6" s="3" t="s">
        <v>46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VLOOKUP(A6,'IN-12-11'!A36:D36,4,FALSE)</f>
        <v>2.15</v>
      </c>
      <c r="F6" s="69">
        <f>(D6*E6)</f>
        <v>2.2575</v>
      </c>
    </row>
    <row r="7" spans="1:6" ht="12.75">
      <c r="A7" s="3" t="s">
        <v>1404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VLOOKUP(A7,'IN-12-11'!A32:D32,4,FALSE)</f>
        <v>4.4867</v>
      </c>
      <c r="F7" s="69">
        <f>(D7*E7)</f>
        <v>1.121675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VLOOKUP(A8,'IN-12-11'!A42:D42,4,FALSE)</f>
        <v>101</v>
      </c>
      <c r="F8" s="69">
        <f>(D8*E8)</f>
        <v>2.02</v>
      </c>
    </row>
    <row r="9" spans="1:6" ht="12.75">
      <c r="A9" s="3" t="s">
        <v>1721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VLOOKUP(A9,'IN-12-11'!A288:D288,4,FALSE)</f>
        <v>10.86</v>
      </c>
      <c r="F9" s="69">
        <f>(D9*E9)</f>
        <v>2.715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1675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VLOOKUP(A11,'IN-12-11'!A274:D274,4,FALSE)</f>
        <v>39.41</v>
      </c>
      <c r="F11" s="69">
        <f>(D11*E11)</f>
        <v>22.463699999999996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1681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VLOOKUP(A13,'IN-12-11'!A110:D110,4,FALSE)</f>
        <v>444.82</v>
      </c>
      <c r="F13" s="69">
        <f>(D13*E13)</f>
        <v>1.5390772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4">
      <selection activeCell="E35" sqref="E3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1868</v>
      </c>
      <c r="C2" s="77" t="str">
        <f>Fecha</f>
        <v>NOV/12</v>
      </c>
      <c r="D2" s="48"/>
      <c r="E2" s="48"/>
      <c r="F2" s="392">
        <f>SUM(F4:F12)</f>
        <v>103.55573099999998</v>
      </c>
      <c r="G2" s="41"/>
    </row>
    <row r="3" spans="1:7" ht="13.5" thickBot="1">
      <c r="A3" s="7" t="s">
        <v>345</v>
      </c>
      <c r="B3" s="7" t="s">
        <v>1727</v>
      </c>
      <c r="C3" s="78" t="s">
        <v>344</v>
      </c>
      <c r="D3" s="49" t="s">
        <v>1774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VLOOKUP(A5,'IN-12-11'!A6:D880,4)</f>
        <v>1.13</v>
      </c>
      <c r="F5" s="69">
        <f>(D5*E5)</f>
        <v>3.5029999999999997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VLOOKUP(A6,'IN-12-11'!A7:D881,4)</f>
        <v>0.92</v>
      </c>
      <c r="F6" s="69">
        <f>(D6*E6)</f>
        <v>4.462</v>
      </c>
    </row>
    <row r="7" spans="1:6" ht="12.75">
      <c r="A7" s="3" t="s">
        <v>1404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VLOOKUP(A7,'IN-12-11'!A8:D882,4)</f>
        <v>4.4867</v>
      </c>
      <c r="F7" s="69">
        <f>(D7*E7)</f>
        <v>0.583271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VLOOKUP(A8,'IN-12-11'!A9:D883,4)</f>
        <v>101</v>
      </c>
      <c r="F8" s="69">
        <f>(D8*E8)</f>
        <v>3.03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VLOOKUP(A10,'IN-12-11'!A11:D885,4)</f>
        <v>39.41</v>
      </c>
      <c r="F10" s="69">
        <f>(D10*E10)</f>
        <v>90.64299999999999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1681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VLOOKUP(A12,'IN-12-11'!A13:D887,4)</f>
        <v>444.82</v>
      </c>
      <c r="F12" s="69">
        <f>(D12*E12)</f>
        <v>1.33446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391" t="s">
        <v>13</v>
      </c>
      <c r="C14" s="77" t="str">
        <f>Fecha</f>
        <v>NOV/12</v>
      </c>
      <c r="D14" s="48"/>
      <c r="E14" s="48"/>
      <c r="F14" s="392">
        <f>SUM(F17:F24)</f>
        <v>57.610693999999995</v>
      </c>
      <c r="G14" s="41"/>
    </row>
    <row r="15" spans="1:7" ht="13.5" thickBot="1">
      <c r="A15" s="7" t="s">
        <v>345</v>
      </c>
      <c r="B15" s="7" t="s">
        <v>1727</v>
      </c>
      <c r="C15" s="78" t="s">
        <v>344</v>
      </c>
      <c r="D15" s="49" t="s">
        <v>1775</v>
      </c>
      <c r="E15" s="50"/>
      <c r="F15" s="68"/>
      <c r="G15" s="42" t="s">
        <v>1976</v>
      </c>
    </row>
    <row r="16" spans="4:6" ht="13.5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1685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VLOOKUP(A18,'IN-12-11'!A19:D893,4)</f>
        <v>1.13</v>
      </c>
      <c r="F18" s="69">
        <f>(D18*E18)</f>
        <v>3.5029999999999997</v>
      </c>
    </row>
    <row r="19" spans="1:6" ht="12.75">
      <c r="A19" s="3" t="s">
        <v>1678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VLOOKUP(A19,'IN-12-11'!A20:D894,4)</f>
        <v>0.92</v>
      </c>
      <c r="F19" s="69">
        <f>(D19*E19)</f>
        <v>1.564</v>
      </c>
    </row>
    <row r="20" spans="1:6" ht="12.75">
      <c r="A20" s="3" t="s">
        <v>1680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VLOOKUP(A20,'IN-12-11'!A21:D895,4)</f>
        <v>101</v>
      </c>
      <c r="F20" s="69">
        <f>(D20*E20)</f>
        <v>2.5250000000000004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VLOOKUP(A22,'IN-12-11'!A23:D897,4)</f>
        <v>39.41</v>
      </c>
      <c r="F22" s="69">
        <f>(D22*E22)</f>
        <v>49.262499999999996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1681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VLOOKUP(A24,'IN-12-11'!A25:D899,4)</f>
        <v>444.82</v>
      </c>
      <c r="F24" s="69">
        <f>(D24*E24)</f>
        <v>0.7561939999999999</v>
      </c>
    </row>
    <row r="25" spans="4:6" ht="13.5" thickBot="1">
      <c r="D25" s="51"/>
      <c r="E25" s="51"/>
      <c r="F25" s="69"/>
    </row>
    <row r="26" spans="1:7" ht="13.5" thickTop="1">
      <c r="A26" s="75" t="s">
        <v>346</v>
      </c>
      <c r="B26" s="391" t="s">
        <v>1869</v>
      </c>
      <c r="C26" s="77" t="str">
        <f>Fecha</f>
        <v>NOV/12</v>
      </c>
      <c r="D26" s="48"/>
      <c r="E26" s="48"/>
      <c r="F26" s="392">
        <f>SUM(F28:F36)</f>
        <v>53.627983</v>
      </c>
      <c r="G26" s="41"/>
    </row>
    <row r="27" spans="1:7" ht="13.5" thickBot="1">
      <c r="A27" s="7" t="s">
        <v>345</v>
      </c>
      <c r="B27" s="7" t="s">
        <v>1727</v>
      </c>
      <c r="C27" s="78" t="s">
        <v>344</v>
      </c>
      <c r="D27" s="49" t="s">
        <v>1931</v>
      </c>
      <c r="E27" s="50"/>
      <c r="F27" s="68"/>
      <c r="G27" s="42" t="s">
        <v>1976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VLOOKUP(A29,'IN-12-11'!A30:D904,4)</f>
        <v>1.13</v>
      </c>
      <c r="F29" s="69">
        <f>(D29*E29)</f>
        <v>2.7119999999999997</v>
      </c>
    </row>
    <row r="30" spans="1:6" ht="12.75">
      <c r="A30" s="3" t="s">
        <v>1404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VLOOKUP(A30,'IN-12-11'!A31:D905,4)</f>
        <v>4.4867</v>
      </c>
      <c r="F30" s="69">
        <f>(D30*E30)</f>
        <v>0.583271</v>
      </c>
    </row>
    <row r="31" spans="1:6" ht="12.75">
      <c r="A31" s="3" t="s">
        <v>1678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VLOOKUP(A31,'IN-12-11'!A32:D906,4)</f>
        <v>0.92</v>
      </c>
      <c r="F31" s="69">
        <f>(D31*E31)</f>
        <v>4.048000000000001</v>
      </c>
    </row>
    <row r="32" spans="1:6" ht="12.75">
      <c r="A32" s="3" t="s">
        <v>1680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VLOOKUP(A32,'IN-12-11'!A33:D907,4)</f>
        <v>101</v>
      </c>
      <c r="F32" s="69">
        <f>(D32*E32)</f>
        <v>2.222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VLOOKUP(A34,'IN-12-11'!A35:D909,4)</f>
        <v>39.41</v>
      </c>
      <c r="F34" s="69">
        <f>(D34*E34)</f>
        <v>43.351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VLOOKUP(A36,'IN-12-11'!A37:D911,4)</f>
        <v>444.82</v>
      </c>
      <c r="F36" s="69">
        <f>(D36*E36)</f>
        <v>0.711712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391" t="s">
        <v>12</v>
      </c>
      <c r="C38" s="77" t="str">
        <f>Fecha</f>
        <v>NOV/12</v>
      </c>
      <c r="D38" s="48"/>
      <c r="E38" s="48"/>
      <c r="F38" s="392">
        <f>SUM(F40:F48)</f>
        <v>91.64536000000001</v>
      </c>
      <c r="G38" s="41"/>
    </row>
    <row r="39" spans="1:7" ht="13.5" thickBot="1">
      <c r="A39" s="7" t="s">
        <v>345</v>
      </c>
      <c r="B39" s="7" t="s">
        <v>1727</v>
      </c>
      <c r="C39" s="78" t="s">
        <v>344</v>
      </c>
      <c r="D39" s="49" t="s">
        <v>1776</v>
      </c>
      <c r="E39" s="50"/>
      <c r="F39" s="68"/>
      <c r="G39" s="42" t="s">
        <v>1976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1685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VLOOKUP(A41,'IN-12-11'!A42:D916,4)</f>
        <v>1.13</v>
      </c>
      <c r="F41" s="69">
        <f>(D41*E41)</f>
        <v>1.2429999999999999</v>
      </c>
    </row>
    <row r="42" spans="1:6" ht="12.75">
      <c r="A42" s="3" t="s">
        <v>1678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VLOOKUP(A42,'IN-12-11'!A43:D917,4)</f>
        <v>0.92</v>
      </c>
      <c r="F42" s="69">
        <f>(D42*E42)</f>
        <v>3.68</v>
      </c>
    </row>
    <row r="43" spans="1:6" ht="12.75">
      <c r="A43" s="3" t="s">
        <v>1680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VLOOKUP(A43,'IN-12-11'!A42:D918,4)</f>
        <v>101</v>
      </c>
      <c r="F43" s="69">
        <f>(D43*E43)</f>
        <v>0.606</v>
      </c>
    </row>
    <row r="44" spans="1:6" ht="12.75">
      <c r="A44" s="3" t="s">
        <v>1689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VLOOKUP(A44,'IN-12-11'!A45:D919,4)</f>
        <v>1.9733</v>
      </c>
      <c r="F44" s="69">
        <f>(D44*E44)</f>
        <v>35.519400000000005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VLOOKUP(A46,'IN-12-11'!A47:D921,4)</f>
        <v>39.41</v>
      </c>
      <c r="F46" s="69">
        <f>(D46*E46)</f>
        <v>49.262499999999996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1681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VLOOKUP(A48,'IN-12-11'!A49:D923,4)</f>
        <v>444.82</v>
      </c>
      <c r="F48" s="69">
        <f>(D48*E48)</f>
        <v>1.33446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Diego</cp:lastModifiedBy>
  <cp:lastPrinted>2012-12-04T22:08:23Z</cp:lastPrinted>
  <dcterms:created xsi:type="dcterms:W3CDTF">2002-02-11T21:12:54Z</dcterms:created>
  <dcterms:modified xsi:type="dcterms:W3CDTF">2012-12-04T22:15:05Z</dcterms:modified>
  <cp:category/>
  <cp:version/>
  <cp:contentType/>
  <cp:contentStatus/>
</cp:coreProperties>
</file>